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19.xml" ContentType="application/vnd.openxmlformats-officedocument.drawingml.chart+xml"/>
  <Override PartName="/xl/drawings/drawing12.xml" ContentType="application/vnd.openxmlformats-officedocument.drawing+xml"/>
  <Override PartName="/xl/comments1.xml" ContentType="application/vnd.openxmlformats-officedocument.spreadsheetml.comments+xml"/>
  <Override PartName="/xl/charts/chart20.xml" ContentType="application/vnd.openxmlformats-officedocument.drawingml.chart+xml"/>
  <Override PartName="/xl/theme/themeOverride1.xml" ContentType="application/vnd.openxmlformats-officedocument.themeOverride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theme/themeOverride2.xml" ContentType="application/vnd.openxmlformats-officedocument.themeOverride+xml"/>
  <Override PartName="/xl/charts/chart25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/>
  <bookViews>
    <workbookView xWindow="-15" yWindow="465" windowWidth="12120" windowHeight="7680" tabRatio="769"/>
  </bookViews>
  <sheets>
    <sheet name="Indholdsfortegnelse" sheetId="16" r:id="rId1"/>
    <sheet name="Økonomiske nøgletal" sheetId="8" r:id="rId2"/>
    <sheet name="Brændselspriser" sheetId="17" r:id="rId3"/>
    <sheet name="CO2, SO2 og NOx priser" sheetId="12" r:id="rId4"/>
    <sheet name="Elpriser" sheetId="18" r:id="rId5"/>
    <sheet name="Elforbrug" sheetId="13" r:id="rId6"/>
    <sheet name="Effektforbrug" sheetId="7" r:id="rId7"/>
    <sheet name="Store varmepumper" sheetId="36" r:id="rId8"/>
    <sheet name="Indiv. VP og elbiler" sheetId="37" r:id="rId9"/>
    <sheet name="Elpatroner" sheetId="20" r:id="rId10"/>
    <sheet name="Vindkapacitet" sheetId="21" r:id="rId11"/>
    <sheet name="Solceller" sheetId="34" r:id="rId12"/>
    <sheet name="Kraftværker, Øst" sheetId="9" r:id="rId13"/>
    <sheet name="Kraftværker, Vest" sheetId="10" r:id="rId14"/>
    <sheet name="Udlandsforbindelser" sheetId="11" r:id="rId15"/>
    <sheet name="Centrale gasdata" sheetId="24" r:id="rId16"/>
    <sheet name="Gasforbindelser" sheetId="35" r:id="rId17"/>
    <sheet name="Fjernvarmeforbrug" sheetId="38" r:id="rId18"/>
    <sheet name="Beregningsark, vind" sheetId="33" r:id="rId19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ftn1" localSheetId="6">#REF!</definedName>
    <definedName name="_ftnref1" localSheetId="6">Effektforbrug!#REF!</definedName>
    <definedName name="_Ref93828656" localSheetId="6">Effektforbrug!#REF!</definedName>
    <definedName name="Elbilsandel">#REF!</definedName>
    <definedName name="KvarterseffektKorrektion">#REF!</definedName>
    <definedName name="Pal_Workbook_GUID" hidden="1">"72JZWYL6P959RFW66W1IKY6K"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45621"/>
</workbook>
</file>

<file path=xl/calcChain.xml><?xml version="1.0" encoding="utf-8"?>
<calcChain xmlns="http://schemas.openxmlformats.org/spreadsheetml/2006/main">
  <c r="G10" i="18" l="1"/>
  <c r="H10" i="18"/>
  <c r="I10" i="18"/>
  <c r="J10" i="18"/>
  <c r="K10" i="18"/>
  <c r="F10" i="18"/>
  <c r="D10" i="18"/>
  <c r="C10" i="18"/>
  <c r="G22" i="18"/>
  <c r="H22" i="18"/>
  <c r="H23" i="18" s="1"/>
  <c r="H24" i="18" s="1"/>
  <c r="H25" i="18" s="1"/>
  <c r="H26" i="18" s="1"/>
  <c r="H27" i="18" s="1"/>
  <c r="H28" i="18" s="1"/>
  <c r="H29" i="18" s="1"/>
  <c r="H30" i="18" s="1"/>
  <c r="H31" i="18" s="1"/>
  <c r="I22" i="18"/>
  <c r="J22" i="18"/>
  <c r="K22" i="18"/>
  <c r="G23" i="18"/>
  <c r="G24" i="18" s="1"/>
  <c r="G25" i="18" s="1"/>
  <c r="G26" i="18" s="1"/>
  <c r="G27" i="18" s="1"/>
  <c r="G28" i="18" s="1"/>
  <c r="G29" i="18" s="1"/>
  <c r="G30" i="18" s="1"/>
  <c r="G31" i="18" s="1"/>
  <c r="I23" i="18"/>
  <c r="J23" i="18"/>
  <c r="J24" i="18" s="1"/>
  <c r="J25" i="18" s="1"/>
  <c r="J26" i="18" s="1"/>
  <c r="J27" i="18" s="1"/>
  <c r="J28" i="18" s="1"/>
  <c r="J29" i="18" s="1"/>
  <c r="J30" i="18" s="1"/>
  <c r="J31" i="18" s="1"/>
  <c r="K23" i="18"/>
  <c r="K24" i="18" s="1"/>
  <c r="K25" i="18" s="1"/>
  <c r="K26" i="18" s="1"/>
  <c r="K27" i="18" s="1"/>
  <c r="K28" i="18" s="1"/>
  <c r="K29" i="18" s="1"/>
  <c r="K30" i="18" s="1"/>
  <c r="K31" i="18" s="1"/>
  <c r="I24" i="18"/>
  <c r="I25" i="18"/>
  <c r="I26" i="18" s="1"/>
  <c r="I27" i="18" s="1"/>
  <c r="I28" i="18" s="1"/>
  <c r="I29" i="18" s="1"/>
  <c r="I30" i="18" s="1"/>
  <c r="I31" i="18" s="1"/>
  <c r="F22" i="18"/>
  <c r="F23" i="18" s="1"/>
  <c r="F24" i="18" s="1"/>
  <c r="F25" i="18" s="1"/>
  <c r="F26" i="18" s="1"/>
  <c r="F27" i="18" s="1"/>
  <c r="F28" i="18" s="1"/>
  <c r="F29" i="18" s="1"/>
  <c r="F30" i="18" s="1"/>
  <c r="F31" i="18" s="1"/>
  <c r="I13" i="18"/>
  <c r="I14" i="18" s="1"/>
  <c r="I15" i="18" s="1"/>
  <c r="I16" i="18" s="1"/>
  <c r="I17" i="18" s="1"/>
  <c r="I18" i="18" s="1"/>
  <c r="I19" i="18" s="1"/>
  <c r="I20" i="18" s="1"/>
  <c r="K12" i="18"/>
  <c r="K13" i="18" s="1"/>
  <c r="K14" i="18" s="1"/>
  <c r="K15" i="18" s="1"/>
  <c r="K16" i="18" s="1"/>
  <c r="K17" i="18" s="1"/>
  <c r="K18" i="18" s="1"/>
  <c r="K19" i="18" s="1"/>
  <c r="K20" i="18" s="1"/>
  <c r="J12" i="18"/>
  <c r="J13" i="18" s="1"/>
  <c r="J14" i="18" s="1"/>
  <c r="J15" i="18" s="1"/>
  <c r="J16" i="18" s="1"/>
  <c r="J17" i="18" s="1"/>
  <c r="J18" i="18" s="1"/>
  <c r="J19" i="18" s="1"/>
  <c r="J20" i="18" s="1"/>
  <c r="I12" i="18"/>
  <c r="H12" i="18"/>
  <c r="H13" i="18" s="1"/>
  <c r="H14" i="18" s="1"/>
  <c r="H15" i="18" s="1"/>
  <c r="H16" i="18" s="1"/>
  <c r="H17" i="18" s="1"/>
  <c r="H18" i="18" s="1"/>
  <c r="H19" i="18" s="1"/>
  <c r="H20" i="18" s="1"/>
  <c r="G12" i="18"/>
  <c r="G13" i="18" s="1"/>
  <c r="G14" i="18" s="1"/>
  <c r="G15" i="18" s="1"/>
  <c r="G16" i="18" s="1"/>
  <c r="G17" i="18" s="1"/>
  <c r="G18" i="18" s="1"/>
  <c r="G19" i="18" s="1"/>
  <c r="G20" i="18" s="1"/>
  <c r="F12" i="18"/>
  <c r="F13" i="18" s="1"/>
  <c r="F14" i="18" s="1"/>
  <c r="F15" i="18" s="1"/>
  <c r="F16" i="18" s="1"/>
  <c r="F17" i="18" s="1"/>
  <c r="F18" i="18" s="1"/>
  <c r="F19" i="18" s="1"/>
  <c r="F20" i="18" s="1"/>
  <c r="C27" i="34" l="1"/>
  <c r="D27" i="34"/>
  <c r="E27" i="34"/>
  <c r="F27" i="34"/>
  <c r="G27" i="34"/>
  <c r="H27" i="34"/>
  <c r="I27" i="34"/>
  <c r="J27" i="34"/>
  <c r="K27" i="34"/>
  <c r="L27" i="34"/>
  <c r="M27" i="34"/>
  <c r="N27" i="34"/>
  <c r="O27" i="34"/>
  <c r="P27" i="34"/>
  <c r="Q27" i="34"/>
  <c r="R27" i="34"/>
  <c r="S27" i="34"/>
  <c r="T27" i="34"/>
  <c r="U27" i="34"/>
  <c r="V27" i="34"/>
  <c r="W27" i="34"/>
  <c r="X27" i="34"/>
  <c r="Y27" i="34"/>
  <c r="Z27" i="34"/>
  <c r="AA27" i="34"/>
  <c r="C28" i="34"/>
  <c r="D28" i="34"/>
  <c r="E28" i="34"/>
  <c r="F28" i="34"/>
  <c r="G28" i="34"/>
  <c r="H28" i="34"/>
  <c r="I28" i="34"/>
  <c r="J28" i="34"/>
  <c r="K28" i="34"/>
  <c r="L28" i="34"/>
  <c r="M28" i="34"/>
  <c r="N28" i="34"/>
  <c r="O28" i="34"/>
  <c r="P28" i="34"/>
  <c r="Q28" i="34"/>
  <c r="R28" i="34"/>
  <c r="S28" i="34"/>
  <c r="T28" i="34"/>
  <c r="U28" i="34"/>
  <c r="V28" i="34"/>
  <c r="W28" i="34"/>
  <c r="X28" i="34"/>
  <c r="Y28" i="34"/>
  <c r="Z28" i="34"/>
  <c r="AA28" i="34"/>
  <c r="C29" i="34"/>
  <c r="D29" i="34"/>
  <c r="E29" i="34"/>
  <c r="F29" i="34"/>
  <c r="G29" i="34"/>
  <c r="H29" i="34"/>
  <c r="I29" i="34"/>
  <c r="J29" i="34"/>
  <c r="K29" i="34"/>
  <c r="L29" i="34"/>
  <c r="M29" i="34"/>
  <c r="N29" i="34"/>
  <c r="O29" i="34"/>
  <c r="P29" i="34"/>
  <c r="Q29" i="34"/>
  <c r="R29" i="34"/>
  <c r="S29" i="34"/>
  <c r="T29" i="34"/>
  <c r="U29" i="34"/>
  <c r="V29" i="34"/>
  <c r="W29" i="34"/>
  <c r="X29" i="34"/>
  <c r="Y29" i="34"/>
  <c r="Z29" i="34"/>
  <c r="AA29" i="34"/>
  <c r="C30" i="34"/>
  <c r="D30" i="34"/>
  <c r="E30" i="34"/>
  <c r="F30" i="34"/>
  <c r="G30" i="34"/>
  <c r="H30" i="34"/>
  <c r="I30" i="34"/>
  <c r="J30" i="34"/>
  <c r="K30" i="34"/>
  <c r="L30" i="34"/>
  <c r="M30" i="34"/>
  <c r="N30" i="34"/>
  <c r="O30" i="34"/>
  <c r="P30" i="34"/>
  <c r="Q30" i="34"/>
  <c r="R30" i="34"/>
  <c r="S30" i="34"/>
  <c r="T30" i="34"/>
  <c r="U30" i="34"/>
  <c r="V30" i="34"/>
  <c r="W30" i="34"/>
  <c r="X30" i="34"/>
  <c r="Y30" i="34"/>
  <c r="Z30" i="34"/>
  <c r="AA30" i="34"/>
  <c r="C31" i="34"/>
  <c r="D31" i="34"/>
  <c r="E31" i="34"/>
  <c r="F31" i="34"/>
  <c r="G31" i="34"/>
  <c r="H31" i="34"/>
  <c r="I31" i="34"/>
  <c r="J31" i="34"/>
  <c r="K31" i="34"/>
  <c r="L31" i="34"/>
  <c r="M31" i="34"/>
  <c r="N31" i="34"/>
  <c r="O31" i="34"/>
  <c r="P31" i="34"/>
  <c r="Q31" i="34"/>
  <c r="R31" i="34"/>
  <c r="S31" i="34"/>
  <c r="T31" i="34"/>
  <c r="U31" i="34"/>
  <c r="V31" i="34"/>
  <c r="W31" i="34"/>
  <c r="X31" i="34"/>
  <c r="Y31" i="34"/>
  <c r="Z31" i="34"/>
  <c r="AA31" i="34"/>
  <c r="C15" i="38" l="1"/>
  <c r="D15" i="38"/>
  <c r="E15" i="38"/>
  <c r="F15" i="38"/>
  <c r="G15" i="38"/>
  <c r="H15" i="38"/>
  <c r="I15" i="38"/>
  <c r="J15" i="38"/>
  <c r="K15" i="38"/>
  <c r="L15" i="38"/>
  <c r="M15" i="38"/>
  <c r="C16" i="38"/>
  <c r="D16" i="38"/>
  <c r="E16" i="38"/>
  <c r="F16" i="38"/>
  <c r="G16" i="38"/>
  <c r="H16" i="38"/>
  <c r="I16" i="38"/>
  <c r="J16" i="38"/>
  <c r="K16" i="38"/>
  <c r="L16" i="38"/>
  <c r="M16" i="38"/>
  <c r="D14" i="38"/>
  <c r="E14" i="38"/>
  <c r="F14" i="38"/>
  <c r="G14" i="38"/>
  <c r="H14" i="38"/>
  <c r="I14" i="38"/>
  <c r="J14" i="38"/>
  <c r="K14" i="38"/>
  <c r="L14" i="38"/>
  <c r="M14" i="38"/>
  <c r="C14" i="38"/>
  <c r="B16" i="38"/>
  <c r="B15" i="38"/>
  <c r="B14" i="38"/>
  <c r="H322" i="33" l="1"/>
  <c r="H340" i="33"/>
  <c r="H339" i="33"/>
  <c r="H338" i="33"/>
  <c r="H337" i="33"/>
  <c r="Q32" i="34" l="1"/>
  <c r="U32" i="34"/>
  <c r="I32" i="34"/>
  <c r="Y32" i="34" l="1"/>
  <c r="E32" i="34"/>
  <c r="AA32" i="34"/>
  <c r="W32" i="34"/>
  <c r="S32" i="34"/>
  <c r="O32" i="34"/>
  <c r="K32" i="34"/>
  <c r="G32" i="34"/>
  <c r="C32" i="34"/>
  <c r="M32" i="34"/>
  <c r="X32" i="34"/>
  <c r="T32" i="34"/>
  <c r="P32" i="34"/>
  <c r="L32" i="34"/>
  <c r="H32" i="34"/>
  <c r="D32" i="34"/>
  <c r="Z32" i="34"/>
  <c r="V32" i="34"/>
  <c r="R32" i="34"/>
  <c r="N32" i="34"/>
  <c r="J32" i="34"/>
  <c r="F32" i="34"/>
  <c r="AF11" i="36" l="1"/>
  <c r="AG11" i="36"/>
  <c r="AH11" i="36"/>
  <c r="AI11" i="36"/>
  <c r="AF12" i="36"/>
  <c r="AG12" i="36"/>
  <c r="AH12" i="36"/>
  <c r="AI12" i="36"/>
  <c r="AF13" i="36"/>
  <c r="AG13" i="36"/>
  <c r="AH13" i="36"/>
  <c r="AI13" i="36"/>
  <c r="AF14" i="36"/>
  <c r="AG14" i="36"/>
  <c r="AH14" i="36"/>
  <c r="AI14" i="36"/>
  <c r="AF15" i="36"/>
  <c r="AG15" i="36"/>
  <c r="AH15" i="36"/>
  <c r="AI15" i="36"/>
  <c r="AF16" i="36"/>
  <c r="AG16" i="36"/>
  <c r="AH16" i="36"/>
  <c r="AI16" i="36"/>
  <c r="AF17" i="36"/>
  <c r="AG17" i="36"/>
  <c r="AH17" i="36"/>
  <c r="AI17" i="36"/>
  <c r="AF18" i="36"/>
  <c r="AG18" i="36"/>
  <c r="AH18" i="36"/>
  <c r="AI18" i="36"/>
  <c r="AF19" i="36"/>
  <c r="AG19" i="36"/>
  <c r="AH19" i="36"/>
  <c r="AI19" i="36"/>
  <c r="AF20" i="36"/>
  <c r="AG20" i="36"/>
  <c r="AH20" i="36"/>
  <c r="AI20" i="36"/>
  <c r="AF21" i="36"/>
  <c r="AG21" i="36"/>
  <c r="AH21" i="36"/>
  <c r="AI21" i="36"/>
  <c r="AF22" i="36"/>
  <c r="AG22" i="36"/>
  <c r="AH22" i="36"/>
  <c r="AI22" i="36"/>
  <c r="AF23" i="36"/>
  <c r="AG23" i="36"/>
  <c r="AH23" i="36"/>
  <c r="AI23" i="36"/>
  <c r="AF24" i="36"/>
  <c r="AG24" i="36"/>
  <c r="AH24" i="36"/>
  <c r="AI24" i="36"/>
  <c r="AF25" i="36"/>
  <c r="AG25" i="36"/>
  <c r="AH25" i="36"/>
  <c r="AI25" i="36"/>
  <c r="AF26" i="36"/>
  <c r="AG26" i="36"/>
  <c r="AH26" i="36"/>
  <c r="AI26" i="36"/>
  <c r="AF27" i="36"/>
  <c r="AG27" i="36"/>
  <c r="AH27" i="36"/>
  <c r="AI27" i="36"/>
  <c r="AF28" i="36"/>
  <c r="AG28" i="36"/>
  <c r="AH28" i="36"/>
  <c r="AI28" i="36"/>
  <c r="AF29" i="36"/>
  <c r="AG29" i="36"/>
  <c r="AH29" i="36"/>
  <c r="AI29" i="36"/>
  <c r="AF30" i="36"/>
  <c r="AG30" i="36"/>
  <c r="AH30" i="36"/>
  <c r="AI30" i="36"/>
  <c r="AF31" i="36"/>
  <c r="AG31" i="36"/>
  <c r="AH31" i="36"/>
  <c r="AI31" i="36"/>
  <c r="AF32" i="36"/>
  <c r="AG32" i="36"/>
  <c r="AH32" i="36"/>
  <c r="AI32" i="36"/>
  <c r="AF33" i="36"/>
  <c r="AG33" i="36"/>
  <c r="AH33" i="36"/>
  <c r="AI33" i="36"/>
  <c r="AF34" i="36"/>
  <c r="AG34" i="36"/>
  <c r="AH34" i="36"/>
  <c r="AI34" i="36"/>
  <c r="AI10" i="36"/>
  <c r="AH10" i="36"/>
  <c r="AG10" i="36"/>
  <c r="AF10" i="36"/>
  <c r="L44" i="7" l="1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43" i="7"/>
  <c r="E13" i="37" l="1"/>
  <c r="E21" i="37"/>
  <c r="E29" i="37"/>
  <c r="L11" i="37"/>
  <c r="E10" i="37" s="1"/>
  <c r="E28" i="37" l="1"/>
  <c r="E20" i="37"/>
  <c r="E12" i="37"/>
  <c r="E33" i="37"/>
  <c r="E25" i="37"/>
  <c r="E17" i="37"/>
  <c r="E32" i="37"/>
  <c r="E24" i="37"/>
  <c r="E16" i="37"/>
  <c r="E31" i="37"/>
  <c r="E27" i="37"/>
  <c r="E23" i="37"/>
  <c r="E19" i="37"/>
  <c r="E15" i="37"/>
  <c r="E11" i="37"/>
  <c r="E9" i="37"/>
  <c r="E30" i="37"/>
  <c r="E26" i="37"/>
  <c r="E22" i="37"/>
  <c r="E18" i="37"/>
  <c r="E14" i="37"/>
  <c r="W15" i="13" l="1"/>
  <c r="AP15" i="13" s="1"/>
  <c r="W17" i="13"/>
  <c r="AP17" i="13" s="1"/>
  <c r="W22" i="13"/>
  <c r="AP22" i="13" s="1"/>
  <c r="X23" i="13"/>
  <c r="AY23" i="13" s="1"/>
  <c r="X26" i="13"/>
  <c r="AY26" i="13" s="1"/>
  <c r="W28" i="13"/>
  <c r="AP28" i="13" s="1"/>
  <c r="W32" i="13"/>
  <c r="AP32" i="13" s="1"/>
  <c r="W8" i="13"/>
  <c r="AP8" i="13" s="1"/>
  <c r="R11" i="36"/>
  <c r="S11" i="36"/>
  <c r="AK11" i="36" s="1"/>
  <c r="R12" i="36"/>
  <c r="S12" i="36"/>
  <c r="X10" i="13" s="1"/>
  <c r="AY10" i="13" s="1"/>
  <c r="R13" i="36"/>
  <c r="S13" i="36"/>
  <c r="AK13" i="36" s="1"/>
  <c r="R14" i="36"/>
  <c r="S14" i="36"/>
  <c r="R15" i="36"/>
  <c r="S15" i="36"/>
  <c r="AK15" i="36" s="1"/>
  <c r="R16" i="36"/>
  <c r="S16" i="36"/>
  <c r="R17" i="36"/>
  <c r="S17" i="36"/>
  <c r="AK17" i="36" s="1"/>
  <c r="R18" i="36"/>
  <c r="S18" i="36"/>
  <c r="R19" i="36"/>
  <c r="S19" i="36"/>
  <c r="AK19" i="36" s="1"/>
  <c r="R20" i="36"/>
  <c r="S20" i="36"/>
  <c r="X18" i="13" s="1"/>
  <c r="AY18" i="13" s="1"/>
  <c r="R21" i="36"/>
  <c r="S21" i="36"/>
  <c r="AK21" i="36" s="1"/>
  <c r="R22" i="36"/>
  <c r="S22" i="36"/>
  <c r="R23" i="36"/>
  <c r="S23" i="36"/>
  <c r="AK23" i="36" s="1"/>
  <c r="R24" i="36"/>
  <c r="S24" i="36"/>
  <c r="R25" i="36"/>
  <c r="S25" i="36"/>
  <c r="AK25" i="36" s="1"/>
  <c r="R26" i="36"/>
  <c r="S26" i="36"/>
  <c r="X24" i="13" s="1"/>
  <c r="AY24" i="13" s="1"/>
  <c r="R27" i="36"/>
  <c r="S27" i="36"/>
  <c r="AK27" i="36" s="1"/>
  <c r="T27" i="36"/>
  <c r="R28" i="36"/>
  <c r="S28" i="36"/>
  <c r="R29" i="36"/>
  <c r="S29" i="36"/>
  <c r="AK29" i="36" s="1"/>
  <c r="R30" i="36"/>
  <c r="S30" i="36"/>
  <c r="X28" i="13" s="1"/>
  <c r="AY28" i="13" s="1"/>
  <c r="R31" i="36"/>
  <c r="S31" i="36"/>
  <c r="AK31" i="36" s="1"/>
  <c r="T31" i="36"/>
  <c r="R32" i="36"/>
  <c r="S32" i="36"/>
  <c r="R33" i="36"/>
  <c r="S33" i="36"/>
  <c r="AK33" i="36" s="1"/>
  <c r="R34" i="36"/>
  <c r="S34" i="36"/>
  <c r="I11" i="36"/>
  <c r="J11" i="36"/>
  <c r="AJ11" i="36" s="1"/>
  <c r="I12" i="36"/>
  <c r="J12" i="36"/>
  <c r="W10" i="13" s="1"/>
  <c r="AP10" i="13" s="1"/>
  <c r="I13" i="36"/>
  <c r="J13" i="36"/>
  <c r="AJ13" i="36" s="1"/>
  <c r="I14" i="36"/>
  <c r="J14" i="36"/>
  <c r="W12" i="13" s="1"/>
  <c r="AP12" i="13" s="1"/>
  <c r="I15" i="36"/>
  <c r="J15" i="36"/>
  <c r="AJ15" i="36" s="1"/>
  <c r="I16" i="36"/>
  <c r="J16" i="36"/>
  <c r="W14" i="13" s="1"/>
  <c r="AP14" i="13" s="1"/>
  <c r="I17" i="36"/>
  <c r="K17" i="36" s="1"/>
  <c r="J17" i="36"/>
  <c r="AJ17" i="36" s="1"/>
  <c r="I18" i="36"/>
  <c r="J18" i="36"/>
  <c r="W16" i="13" s="1"/>
  <c r="AP16" i="13" s="1"/>
  <c r="I19" i="36"/>
  <c r="J19" i="36"/>
  <c r="AJ19" i="36" s="1"/>
  <c r="K19" i="36"/>
  <c r="I20" i="36"/>
  <c r="J20" i="36"/>
  <c r="I21" i="36"/>
  <c r="J21" i="36"/>
  <c r="AJ21" i="36" s="1"/>
  <c r="I22" i="36"/>
  <c r="J22" i="36"/>
  <c r="W20" i="13" s="1"/>
  <c r="AP20" i="13" s="1"/>
  <c r="I23" i="36"/>
  <c r="J23" i="36"/>
  <c r="AJ23" i="36" s="1"/>
  <c r="K23" i="36"/>
  <c r="I24" i="36"/>
  <c r="J24" i="36"/>
  <c r="I25" i="36"/>
  <c r="J25" i="36"/>
  <c r="AJ25" i="36" s="1"/>
  <c r="I26" i="36"/>
  <c r="J26" i="36"/>
  <c r="W24" i="13" s="1"/>
  <c r="AP24" i="13" s="1"/>
  <c r="I27" i="36"/>
  <c r="J27" i="36"/>
  <c r="AJ27" i="36" s="1"/>
  <c r="K27" i="36"/>
  <c r="I28" i="36"/>
  <c r="J28" i="36"/>
  <c r="W26" i="13" s="1"/>
  <c r="AP26" i="13" s="1"/>
  <c r="I29" i="36"/>
  <c r="J29" i="36"/>
  <c r="AJ29" i="36" s="1"/>
  <c r="I30" i="36"/>
  <c r="J30" i="36"/>
  <c r="I31" i="36"/>
  <c r="J31" i="36"/>
  <c r="AJ31" i="36" s="1"/>
  <c r="I32" i="36"/>
  <c r="J32" i="36"/>
  <c r="W30" i="13" s="1"/>
  <c r="AP30" i="13" s="1"/>
  <c r="I33" i="36"/>
  <c r="J33" i="36"/>
  <c r="AJ33" i="36" s="1"/>
  <c r="I34" i="36"/>
  <c r="J34" i="36"/>
  <c r="S10" i="36"/>
  <c r="AK10" i="36" s="1"/>
  <c r="R10" i="36"/>
  <c r="T10" i="36" s="1"/>
  <c r="J10" i="36"/>
  <c r="I10" i="36"/>
  <c r="K33" i="36" l="1"/>
  <c r="W31" i="13"/>
  <c r="AP31" i="13" s="1"/>
  <c r="K11" i="36"/>
  <c r="T25" i="36"/>
  <c r="T21" i="36"/>
  <c r="T11" i="36"/>
  <c r="X13" i="13"/>
  <c r="AY13" i="13" s="1"/>
  <c r="T15" i="36"/>
  <c r="X29" i="13"/>
  <c r="AY29" i="13" s="1"/>
  <c r="X21" i="13"/>
  <c r="AY21" i="13" s="1"/>
  <c r="T24" i="36"/>
  <c r="AK24" i="36"/>
  <c r="X31" i="13"/>
  <c r="AY31" i="13" s="1"/>
  <c r="T33" i="36"/>
  <c r="T22" i="36"/>
  <c r="AK22" i="36"/>
  <c r="T30" i="36"/>
  <c r="AK30" i="36"/>
  <c r="T28" i="36"/>
  <c r="AK28" i="36"/>
  <c r="T19" i="36"/>
  <c r="T14" i="36"/>
  <c r="AK14" i="36"/>
  <c r="T12" i="36"/>
  <c r="AK12" i="36"/>
  <c r="X27" i="13"/>
  <c r="AY27" i="13" s="1"/>
  <c r="X11" i="13"/>
  <c r="AY11" i="13" s="1"/>
  <c r="T26" i="36"/>
  <c r="AK26" i="36"/>
  <c r="X17" i="13"/>
  <c r="AY17" i="13" s="1"/>
  <c r="X15" i="13"/>
  <c r="AY15" i="13" s="1"/>
  <c r="T20" i="36"/>
  <c r="AK20" i="36"/>
  <c r="T17" i="36"/>
  <c r="X8" i="13"/>
  <c r="AY8" i="13" s="1"/>
  <c r="X20" i="13"/>
  <c r="AY20" i="13" s="1"/>
  <c r="X12" i="13"/>
  <c r="AY12" i="13" s="1"/>
  <c r="T34" i="36"/>
  <c r="AK34" i="36"/>
  <c r="T32" i="36"/>
  <c r="AK32" i="36"/>
  <c r="T29" i="36"/>
  <c r="T23" i="36"/>
  <c r="T18" i="36"/>
  <c r="AK18" i="36"/>
  <c r="T16" i="36"/>
  <c r="AK16" i="36"/>
  <c r="T13" i="36"/>
  <c r="X32" i="13"/>
  <c r="AY32" i="13" s="1"/>
  <c r="X30" i="13"/>
  <c r="AY30" i="13" s="1"/>
  <c r="X25" i="13"/>
  <c r="AY25" i="13" s="1"/>
  <c r="X22" i="13"/>
  <c r="AY22" i="13" s="1"/>
  <c r="X19" i="13"/>
  <c r="AY19" i="13" s="1"/>
  <c r="X16" i="13"/>
  <c r="AY16" i="13" s="1"/>
  <c r="X14" i="13"/>
  <c r="AY14" i="13" s="1"/>
  <c r="X9" i="13"/>
  <c r="AY9" i="13" s="1"/>
  <c r="K20" i="36"/>
  <c r="AJ20" i="36"/>
  <c r="K34" i="36"/>
  <c r="AJ34" i="36"/>
  <c r="K13" i="36"/>
  <c r="K10" i="36"/>
  <c r="AJ10" i="36"/>
  <c r="K30" i="36"/>
  <c r="AJ30" i="36"/>
  <c r="K28" i="36"/>
  <c r="AJ28" i="36"/>
  <c r="K25" i="36"/>
  <c r="K14" i="36"/>
  <c r="AJ14" i="36"/>
  <c r="K12" i="36"/>
  <c r="AJ12" i="36"/>
  <c r="W29" i="13"/>
  <c r="AP29" i="13" s="1"/>
  <c r="W27" i="13"/>
  <c r="AP27" i="13" s="1"/>
  <c r="W25" i="13"/>
  <c r="AP25" i="13" s="1"/>
  <c r="W23" i="13"/>
  <c r="AP23" i="13" s="1"/>
  <c r="W21" i="13"/>
  <c r="AP21" i="13" s="1"/>
  <c r="W19" i="13"/>
  <c r="AP19" i="13" s="1"/>
  <c r="W13" i="13"/>
  <c r="AP13" i="13" s="1"/>
  <c r="W11" i="13"/>
  <c r="AP11" i="13" s="1"/>
  <c r="K31" i="36"/>
  <c r="K26" i="36"/>
  <c r="AJ26" i="36"/>
  <c r="K24" i="36"/>
  <c r="AJ24" i="36"/>
  <c r="K21" i="36"/>
  <c r="K15" i="36"/>
  <c r="K22" i="36"/>
  <c r="AJ22" i="36"/>
  <c r="W18" i="13"/>
  <c r="AP18" i="13" s="1"/>
  <c r="K32" i="36"/>
  <c r="AJ32" i="36"/>
  <c r="K29" i="36"/>
  <c r="K18" i="36"/>
  <c r="AJ18" i="36"/>
  <c r="K16" i="36"/>
  <c r="AJ16" i="36"/>
  <c r="W9" i="13"/>
  <c r="AP9" i="13" s="1"/>
  <c r="V10" i="36"/>
  <c r="Y11" i="36"/>
  <c r="Y12" i="36"/>
  <c r="Y13" i="36"/>
  <c r="Y14" i="36"/>
  <c r="Y15" i="36"/>
  <c r="Y16" i="36"/>
  <c r="Y17" i="36"/>
  <c r="Y18" i="36"/>
  <c r="Y19" i="36"/>
  <c r="Y20" i="36"/>
  <c r="Y21" i="36"/>
  <c r="Y22" i="36"/>
  <c r="Y23" i="36"/>
  <c r="Y24" i="36"/>
  <c r="Y25" i="36"/>
  <c r="Y26" i="36"/>
  <c r="Y27" i="36"/>
  <c r="Y28" i="36"/>
  <c r="Y29" i="36"/>
  <c r="Y30" i="36"/>
  <c r="Y31" i="36"/>
  <c r="Y32" i="36"/>
  <c r="Y33" i="36"/>
  <c r="Y34" i="36"/>
  <c r="Y10" i="36"/>
  <c r="V11" i="36"/>
  <c r="V12" i="36"/>
  <c r="AB12" i="36" s="1"/>
  <c r="V13" i="36"/>
  <c r="V14" i="36"/>
  <c r="V15" i="36"/>
  <c r="V16" i="36"/>
  <c r="AB16" i="36" s="1"/>
  <c r="V17" i="36"/>
  <c r="V18" i="36"/>
  <c r="V19" i="36"/>
  <c r="V20" i="36"/>
  <c r="AB20" i="36" s="1"/>
  <c r="V21" i="36"/>
  <c r="V22" i="36"/>
  <c r="V23" i="36"/>
  <c r="V24" i="36"/>
  <c r="AB24" i="36" s="1"/>
  <c r="V25" i="36"/>
  <c r="V26" i="36"/>
  <c r="V27" i="36"/>
  <c r="V28" i="36"/>
  <c r="AB28" i="36" s="1"/>
  <c r="V29" i="36"/>
  <c r="V30" i="36"/>
  <c r="V31" i="36"/>
  <c r="V32" i="36"/>
  <c r="AB32" i="36" s="1"/>
  <c r="V33" i="36"/>
  <c r="V34" i="36"/>
  <c r="Q11" i="36"/>
  <c r="Q12" i="36"/>
  <c r="Q13" i="36"/>
  <c r="Q14" i="36"/>
  <c r="Q15" i="36"/>
  <c r="Q16" i="36"/>
  <c r="Q17" i="36"/>
  <c r="Q18" i="36"/>
  <c r="Q19" i="36"/>
  <c r="Q20" i="36"/>
  <c r="Q21" i="36"/>
  <c r="Q22" i="36"/>
  <c r="Q23" i="36"/>
  <c r="Q24" i="36"/>
  <c r="Q25" i="36"/>
  <c r="Q26" i="36"/>
  <c r="Q27" i="36"/>
  <c r="Q28" i="36"/>
  <c r="Q29" i="36"/>
  <c r="Q30" i="36"/>
  <c r="Q31" i="36"/>
  <c r="Q32" i="36"/>
  <c r="Q33" i="36"/>
  <c r="Q34" i="36"/>
  <c r="AB30" i="36" l="1"/>
  <c r="AB22" i="36"/>
  <c r="AB14" i="36"/>
  <c r="AB21" i="36"/>
  <c r="AB10" i="36"/>
  <c r="AB31" i="36"/>
  <c r="AB23" i="36"/>
  <c r="AB19" i="36"/>
  <c r="AB27" i="36"/>
  <c r="AB15" i="36"/>
  <c r="W25" i="36"/>
  <c r="W28" i="36"/>
  <c r="W12" i="36"/>
  <c r="AB34" i="36"/>
  <c r="AB26" i="36"/>
  <c r="AB18" i="36"/>
  <c r="W31" i="36"/>
  <c r="W23" i="36"/>
  <c r="W19" i="36"/>
  <c r="W15" i="36"/>
  <c r="AB11" i="36"/>
  <c r="W11" i="36"/>
  <c r="AB33" i="36"/>
  <c r="AB29" i="36"/>
  <c r="AB25" i="36"/>
  <c r="AB17" i="36"/>
  <c r="AB13" i="36"/>
  <c r="W10" i="36"/>
  <c r="Q10" i="36"/>
  <c r="N11" i="36"/>
  <c r="N12" i="36"/>
  <c r="N13" i="36"/>
  <c r="N14" i="36"/>
  <c r="N15" i="36"/>
  <c r="N16" i="36"/>
  <c r="N17" i="36"/>
  <c r="N18" i="36"/>
  <c r="N19" i="36"/>
  <c r="N20" i="36"/>
  <c r="N21" i="36"/>
  <c r="N22" i="36"/>
  <c r="N23" i="36"/>
  <c r="N24" i="36"/>
  <c r="N25" i="36"/>
  <c r="N26" i="36"/>
  <c r="N27" i="36"/>
  <c r="N28" i="36"/>
  <c r="N29" i="36"/>
  <c r="N30" i="36"/>
  <c r="N31" i="36"/>
  <c r="N32" i="36"/>
  <c r="N33" i="36"/>
  <c r="N34" i="36"/>
  <c r="N10" i="36"/>
  <c r="H11" i="36"/>
  <c r="H12" i="36"/>
  <c r="H13" i="36"/>
  <c r="H14" i="36"/>
  <c r="H15" i="36"/>
  <c r="H16" i="36"/>
  <c r="H17" i="36"/>
  <c r="H18" i="36"/>
  <c r="H19" i="36"/>
  <c r="H20" i="36"/>
  <c r="H21" i="36"/>
  <c r="H22" i="36"/>
  <c r="H23" i="36"/>
  <c r="H24" i="36"/>
  <c r="H25" i="36"/>
  <c r="H26" i="36"/>
  <c r="H27" i="36"/>
  <c r="H28" i="36"/>
  <c r="H29" i="36"/>
  <c r="H30" i="36"/>
  <c r="H31" i="36"/>
  <c r="H32" i="36"/>
  <c r="H33" i="36"/>
  <c r="H34" i="36"/>
  <c r="H10" i="36"/>
  <c r="E11" i="36"/>
  <c r="E12" i="36"/>
  <c r="E13" i="36"/>
  <c r="E14" i="36"/>
  <c r="E15" i="36"/>
  <c r="E16" i="36"/>
  <c r="E17" i="36"/>
  <c r="E18" i="36"/>
  <c r="E19" i="36"/>
  <c r="E20" i="36"/>
  <c r="E21" i="36"/>
  <c r="E22" i="36"/>
  <c r="E23" i="36"/>
  <c r="E24" i="36"/>
  <c r="E25" i="36"/>
  <c r="E26" i="36"/>
  <c r="E27" i="36"/>
  <c r="E28" i="36"/>
  <c r="E29" i="36"/>
  <c r="E30" i="36"/>
  <c r="E31" i="36"/>
  <c r="E32" i="36"/>
  <c r="E33" i="36"/>
  <c r="E34" i="36"/>
  <c r="E10" i="36"/>
  <c r="X11" i="36"/>
  <c r="X12" i="36"/>
  <c r="X13" i="36"/>
  <c r="X14" i="36"/>
  <c r="X15" i="36"/>
  <c r="X16" i="36"/>
  <c r="X17" i="36"/>
  <c r="X18" i="36"/>
  <c r="X19" i="36"/>
  <c r="X20" i="36"/>
  <c r="X21" i="36"/>
  <c r="X22" i="36"/>
  <c r="X23" i="36"/>
  <c r="X24" i="36"/>
  <c r="X25" i="36"/>
  <c r="X26" i="36"/>
  <c r="X27" i="36"/>
  <c r="X28" i="36"/>
  <c r="X29" i="36"/>
  <c r="X30" i="36"/>
  <c r="X31" i="36"/>
  <c r="X32" i="36"/>
  <c r="X33" i="36"/>
  <c r="X34" i="36"/>
  <c r="U11" i="36"/>
  <c r="U12" i="36"/>
  <c r="U13" i="36"/>
  <c r="W13" i="36" s="1"/>
  <c r="U14" i="36"/>
  <c r="W14" i="36" s="1"/>
  <c r="U15" i="36"/>
  <c r="U16" i="36"/>
  <c r="W16" i="36" s="1"/>
  <c r="U17" i="36"/>
  <c r="W17" i="36" s="1"/>
  <c r="U18" i="36"/>
  <c r="W18" i="36" s="1"/>
  <c r="U19" i="36"/>
  <c r="U20" i="36"/>
  <c r="W20" i="36" s="1"/>
  <c r="U21" i="36"/>
  <c r="W21" i="36" s="1"/>
  <c r="U22" i="36"/>
  <c r="W22" i="36" s="1"/>
  <c r="U23" i="36"/>
  <c r="U24" i="36"/>
  <c r="W24" i="36" s="1"/>
  <c r="U25" i="36"/>
  <c r="U26" i="36"/>
  <c r="W26" i="36" s="1"/>
  <c r="U27" i="36"/>
  <c r="W27" i="36" s="1"/>
  <c r="U28" i="36"/>
  <c r="U29" i="36"/>
  <c r="W29" i="36" s="1"/>
  <c r="U30" i="36"/>
  <c r="W30" i="36" s="1"/>
  <c r="U31" i="36"/>
  <c r="U32" i="36"/>
  <c r="W32" i="36" s="1"/>
  <c r="U33" i="36"/>
  <c r="W33" i="36" s="1"/>
  <c r="U34" i="36"/>
  <c r="W34" i="36" s="1"/>
  <c r="X10" i="36"/>
  <c r="U10" i="36"/>
  <c r="AA10" i="36" l="1"/>
  <c r="AC10" i="36" s="1"/>
  <c r="Z10" i="36"/>
  <c r="AA31" i="36"/>
  <c r="AC31" i="36" s="1"/>
  <c r="Z31" i="36"/>
  <c r="AA27" i="36"/>
  <c r="AC27" i="36" s="1"/>
  <c r="Z27" i="36"/>
  <c r="AA23" i="36"/>
  <c r="AC23" i="36" s="1"/>
  <c r="Z23" i="36"/>
  <c r="AA19" i="36"/>
  <c r="AC19" i="36" s="1"/>
  <c r="Z19" i="36"/>
  <c r="AA15" i="36"/>
  <c r="AC15" i="36" s="1"/>
  <c r="Z15" i="36"/>
  <c r="AA11" i="36"/>
  <c r="AC11" i="36" s="1"/>
  <c r="Z11" i="36"/>
  <c r="Z34" i="36"/>
  <c r="AA34" i="36"/>
  <c r="AC34" i="36" s="1"/>
  <c r="AA30" i="36"/>
  <c r="AC30" i="36" s="1"/>
  <c r="Z30" i="36"/>
  <c r="AA26" i="36"/>
  <c r="AC26" i="36" s="1"/>
  <c r="Z26" i="36"/>
  <c r="Z22" i="36"/>
  <c r="AA22" i="36"/>
  <c r="AC22" i="36" s="1"/>
  <c r="AA18" i="36"/>
  <c r="AC18" i="36" s="1"/>
  <c r="Z18" i="36"/>
  <c r="Z14" i="36"/>
  <c r="AA14" i="36"/>
  <c r="AC14" i="36" s="1"/>
  <c r="Z33" i="36"/>
  <c r="AA33" i="36"/>
  <c r="AC33" i="36" s="1"/>
  <c r="AA29" i="36"/>
  <c r="AC29" i="36" s="1"/>
  <c r="Z29" i="36"/>
  <c r="AA25" i="36"/>
  <c r="AC25" i="36" s="1"/>
  <c r="Z25" i="36"/>
  <c r="AA21" i="36"/>
  <c r="AC21" i="36" s="1"/>
  <c r="Z21" i="36"/>
  <c r="Z17" i="36"/>
  <c r="AA17" i="36"/>
  <c r="AC17" i="36" s="1"/>
  <c r="AA13" i="36"/>
  <c r="AC13" i="36" s="1"/>
  <c r="Z13" i="36"/>
  <c r="AA32" i="36"/>
  <c r="AC32" i="36" s="1"/>
  <c r="Z32" i="36"/>
  <c r="AA28" i="36"/>
  <c r="AC28" i="36" s="1"/>
  <c r="Z28" i="36"/>
  <c r="AA24" i="36"/>
  <c r="AC24" i="36" s="1"/>
  <c r="Z24" i="36"/>
  <c r="AA20" i="36"/>
  <c r="AC20" i="36" s="1"/>
  <c r="Z20" i="36"/>
  <c r="AA16" i="36"/>
  <c r="AC16" i="36" s="1"/>
  <c r="Z16" i="36"/>
  <c r="AA12" i="36"/>
  <c r="AC12" i="36" s="1"/>
  <c r="Z12" i="36"/>
  <c r="J10" i="20" l="1"/>
  <c r="J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9" i="20"/>
  <c r="F9" i="20"/>
  <c r="H9" i="20" s="1"/>
  <c r="C9" i="20"/>
  <c r="E9" i="20" s="1"/>
  <c r="I9" i="20" l="1"/>
  <c r="K9" i="20" s="1"/>
  <c r="M85" i="24"/>
  <c r="M86" i="24"/>
  <c r="M18" i="24" s="1"/>
  <c r="M87" i="24"/>
  <c r="M19" i="24" s="1"/>
  <c r="M88" i="24"/>
  <c r="M20" i="24" s="1"/>
  <c r="M89" i="24"/>
  <c r="M90" i="24"/>
  <c r="M91" i="24"/>
  <c r="M57" i="24" s="1"/>
  <c r="M92" i="24"/>
  <c r="M24" i="24" s="1"/>
  <c r="M93" i="24"/>
  <c r="M94" i="24"/>
  <c r="M95" i="24"/>
  <c r="M27" i="24" s="1"/>
  <c r="M96" i="24"/>
  <c r="M28" i="24" s="1"/>
  <c r="M97" i="24"/>
  <c r="M98" i="24"/>
  <c r="M30" i="24" s="1"/>
  <c r="M99" i="24"/>
  <c r="M65" i="24" s="1"/>
  <c r="M100" i="24"/>
  <c r="M32" i="24" s="1"/>
  <c r="M101" i="24"/>
  <c r="M102" i="24"/>
  <c r="M34" i="24" s="1"/>
  <c r="M103" i="24"/>
  <c r="M35" i="24" s="1"/>
  <c r="M104" i="24"/>
  <c r="M36" i="24" s="1"/>
  <c r="M105" i="24"/>
  <c r="M106" i="24"/>
  <c r="M38" i="24" s="1"/>
  <c r="M107" i="24"/>
  <c r="M73" i="24" s="1"/>
  <c r="M108" i="24"/>
  <c r="M40" i="24" s="1"/>
  <c r="M22" i="24"/>
  <c r="M26" i="24"/>
  <c r="M84" i="24"/>
  <c r="E85" i="24"/>
  <c r="G85" i="24" s="1"/>
  <c r="E86" i="24"/>
  <c r="G86" i="24" s="1"/>
  <c r="E87" i="24"/>
  <c r="G87" i="24" s="1"/>
  <c r="E88" i="24"/>
  <c r="G88" i="24" s="1"/>
  <c r="E89" i="24"/>
  <c r="G89" i="24" s="1"/>
  <c r="E90" i="24"/>
  <c r="G90" i="24" s="1"/>
  <c r="E91" i="24"/>
  <c r="E92" i="24"/>
  <c r="E93" i="24"/>
  <c r="G93" i="24" s="1"/>
  <c r="E94" i="24"/>
  <c r="G94" i="24" s="1"/>
  <c r="E95" i="24"/>
  <c r="E27" i="24" s="1"/>
  <c r="E96" i="24"/>
  <c r="E28" i="24" s="1"/>
  <c r="E97" i="24"/>
  <c r="G97" i="24" s="1"/>
  <c r="E98" i="24"/>
  <c r="G98" i="24" s="1"/>
  <c r="E99" i="24"/>
  <c r="E100" i="24"/>
  <c r="E32" i="24" s="1"/>
  <c r="E101" i="24"/>
  <c r="G101" i="24" s="1"/>
  <c r="E102" i="24"/>
  <c r="G102" i="24" s="1"/>
  <c r="E103" i="24"/>
  <c r="G103" i="24" s="1"/>
  <c r="E104" i="24"/>
  <c r="E105" i="24"/>
  <c r="G105" i="24" s="1"/>
  <c r="E106" i="24"/>
  <c r="G106" i="24" s="1"/>
  <c r="E107" i="24"/>
  <c r="E108" i="24"/>
  <c r="E84" i="24"/>
  <c r="E16" i="24" s="1"/>
  <c r="L53" i="24"/>
  <c r="K58" i="24"/>
  <c r="L58" i="24"/>
  <c r="K63" i="24"/>
  <c r="L63" i="24"/>
  <c r="K68" i="24"/>
  <c r="L68" i="24"/>
  <c r="K73" i="24"/>
  <c r="L73" i="24"/>
  <c r="F52" i="24"/>
  <c r="E53" i="24"/>
  <c r="C57" i="24"/>
  <c r="F58" i="24"/>
  <c r="E61" i="24"/>
  <c r="D63" i="24"/>
  <c r="F66" i="24"/>
  <c r="D70" i="24"/>
  <c r="C71" i="24"/>
  <c r="F50" i="24"/>
  <c r="C50" i="24"/>
  <c r="G8" i="24"/>
  <c r="M51" i="24" s="1"/>
  <c r="J17" i="24"/>
  <c r="K17" i="24"/>
  <c r="L17" i="24"/>
  <c r="M17" i="24"/>
  <c r="J18" i="24"/>
  <c r="K18" i="24"/>
  <c r="L18" i="24"/>
  <c r="J19" i="24"/>
  <c r="K19" i="24"/>
  <c r="L19" i="24"/>
  <c r="J20" i="24"/>
  <c r="K20" i="24"/>
  <c r="L20" i="24"/>
  <c r="J21" i="24"/>
  <c r="K21" i="24"/>
  <c r="L21" i="24"/>
  <c r="M21" i="24"/>
  <c r="J22" i="24"/>
  <c r="K22" i="24"/>
  <c r="L22" i="24"/>
  <c r="J23" i="24"/>
  <c r="K23" i="24"/>
  <c r="L23" i="24"/>
  <c r="J24" i="24"/>
  <c r="K24" i="24"/>
  <c r="L24" i="24"/>
  <c r="J25" i="24"/>
  <c r="K25" i="24"/>
  <c r="L25" i="24"/>
  <c r="M25" i="24"/>
  <c r="J26" i="24"/>
  <c r="K26" i="24"/>
  <c r="L26" i="24"/>
  <c r="J27" i="24"/>
  <c r="K27" i="24"/>
  <c r="L27" i="24"/>
  <c r="J28" i="24"/>
  <c r="K28" i="24"/>
  <c r="L28" i="24"/>
  <c r="J29" i="24"/>
  <c r="K29" i="24"/>
  <c r="L29" i="24"/>
  <c r="M29" i="24"/>
  <c r="J30" i="24"/>
  <c r="K30" i="24"/>
  <c r="L30" i="24"/>
  <c r="J31" i="24"/>
  <c r="K31" i="24"/>
  <c r="L31" i="24"/>
  <c r="M31" i="24"/>
  <c r="J32" i="24"/>
  <c r="K32" i="24"/>
  <c r="L32" i="24"/>
  <c r="J33" i="24"/>
  <c r="K33" i="24"/>
  <c r="L33" i="24"/>
  <c r="M33" i="24"/>
  <c r="J34" i="24"/>
  <c r="K34" i="24"/>
  <c r="L34" i="24"/>
  <c r="J35" i="24"/>
  <c r="K35" i="24"/>
  <c r="L35" i="24"/>
  <c r="J36" i="24"/>
  <c r="K36" i="24"/>
  <c r="L36" i="24"/>
  <c r="J37" i="24"/>
  <c r="K37" i="24"/>
  <c r="L37" i="24"/>
  <c r="M37" i="24"/>
  <c r="J38" i="24"/>
  <c r="K38" i="24"/>
  <c r="L38" i="24"/>
  <c r="J39" i="24"/>
  <c r="K39" i="24"/>
  <c r="L39" i="24"/>
  <c r="J40" i="24"/>
  <c r="K40" i="24"/>
  <c r="L40" i="24"/>
  <c r="K16" i="24"/>
  <c r="L16" i="24"/>
  <c r="J16" i="24"/>
  <c r="C17" i="24"/>
  <c r="D17" i="24"/>
  <c r="F17" i="24"/>
  <c r="C18" i="24"/>
  <c r="D18" i="24"/>
  <c r="E18" i="24"/>
  <c r="F18" i="24"/>
  <c r="C19" i="24"/>
  <c r="D19" i="24"/>
  <c r="E19" i="24"/>
  <c r="F19" i="24"/>
  <c r="C20" i="24"/>
  <c r="D20" i="24"/>
  <c r="E20" i="24"/>
  <c r="F20" i="24"/>
  <c r="C21" i="24"/>
  <c r="D21" i="24"/>
  <c r="F21" i="24"/>
  <c r="C22" i="24"/>
  <c r="D22" i="24"/>
  <c r="E22" i="24"/>
  <c r="F22" i="24"/>
  <c r="C23" i="24"/>
  <c r="D23" i="24"/>
  <c r="F23" i="24"/>
  <c r="C24" i="24"/>
  <c r="D24" i="24"/>
  <c r="F24" i="24"/>
  <c r="C25" i="24"/>
  <c r="D25" i="24"/>
  <c r="F25" i="24"/>
  <c r="C26" i="24"/>
  <c r="D26" i="24"/>
  <c r="F26" i="24"/>
  <c r="C27" i="24"/>
  <c r="D27" i="24"/>
  <c r="F27" i="24"/>
  <c r="C28" i="24"/>
  <c r="D28" i="24"/>
  <c r="F28" i="24"/>
  <c r="C29" i="24"/>
  <c r="D29" i="24"/>
  <c r="F29" i="24"/>
  <c r="C30" i="24"/>
  <c r="D30" i="24"/>
  <c r="E30" i="24"/>
  <c r="F30" i="24"/>
  <c r="C31" i="24"/>
  <c r="D31" i="24"/>
  <c r="E31" i="24"/>
  <c r="F31" i="24"/>
  <c r="C32" i="24"/>
  <c r="D32" i="24"/>
  <c r="F32" i="24"/>
  <c r="C33" i="24"/>
  <c r="D33" i="24"/>
  <c r="F33" i="24"/>
  <c r="C34" i="24"/>
  <c r="D34" i="24"/>
  <c r="F34" i="24"/>
  <c r="C35" i="24"/>
  <c r="D35" i="24"/>
  <c r="E35" i="24"/>
  <c r="F35" i="24"/>
  <c r="C36" i="24"/>
  <c r="D36" i="24"/>
  <c r="F36" i="24"/>
  <c r="C37" i="24"/>
  <c r="D37" i="24"/>
  <c r="F37" i="24"/>
  <c r="C38" i="24"/>
  <c r="D38" i="24"/>
  <c r="F38" i="24"/>
  <c r="C39" i="24"/>
  <c r="D39" i="24"/>
  <c r="F39" i="24"/>
  <c r="C40" i="24"/>
  <c r="D40" i="24"/>
  <c r="F40" i="24"/>
  <c r="D16" i="24"/>
  <c r="F16" i="24"/>
  <c r="C16" i="24"/>
  <c r="M39" i="24" l="1"/>
  <c r="M53" i="24"/>
  <c r="E29" i="24"/>
  <c r="E33" i="24"/>
  <c r="E67" i="24"/>
  <c r="E21" i="24"/>
  <c r="E17" i="24"/>
  <c r="E34" i="24"/>
  <c r="G84" i="24"/>
  <c r="G16" i="24" s="1"/>
  <c r="E38" i="24"/>
  <c r="E37" i="24"/>
  <c r="E26" i="24"/>
  <c r="E25" i="24"/>
  <c r="C73" i="24"/>
  <c r="D69" i="24"/>
  <c r="C65" i="24"/>
  <c r="F60" i="24"/>
  <c r="D56" i="24"/>
  <c r="C51" i="24"/>
  <c r="J71" i="24"/>
  <c r="J66" i="24"/>
  <c r="K61" i="24"/>
  <c r="K56" i="24"/>
  <c r="K51" i="24"/>
  <c r="E74" i="24"/>
  <c r="E70" i="24"/>
  <c r="E58" i="24"/>
  <c r="G54" i="24"/>
  <c r="M50" i="24"/>
  <c r="F72" i="24"/>
  <c r="E68" i="24"/>
  <c r="D64" i="24"/>
  <c r="C59" i="24"/>
  <c r="D55" i="24"/>
  <c r="J50" i="24"/>
  <c r="L70" i="24"/>
  <c r="J61" i="24"/>
  <c r="J56" i="24"/>
  <c r="J51" i="24"/>
  <c r="E73" i="24"/>
  <c r="E65" i="24"/>
  <c r="E57" i="24"/>
  <c r="M55" i="24"/>
  <c r="E36" i="24"/>
  <c r="E54" i="24"/>
  <c r="F74" i="24"/>
  <c r="C72" i="24"/>
  <c r="C70" i="24"/>
  <c r="D68" i="24"/>
  <c r="C66" i="24"/>
  <c r="C64" i="24"/>
  <c r="D62" i="24"/>
  <c r="E60" i="24"/>
  <c r="C58" i="24"/>
  <c r="C56" i="24"/>
  <c r="D54" i="24"/>
  <c r="E52" i="24"/>
  <c r="L74" i="24"/>
  <c r="K72" i="24"/>
  <c r="M69" i="24"/>
  <c r="K67" i="24"/>
  <c r="J65" i="24"/>
  <c r="K62" i="24"/>
  <c r="J60" i="24"/>
  <c r="L57" i="24"/>
  <c r="J55" i="24"/>
  <c r="L52" i="24"/>
  <c r="E62" i="24"/>
  <c r="F73" i="24"/>
  <c r="D71" i="24"/>
  <c r="E69" i="24"/>
  <c r="F67" i="24"/>
  <c r="D65" i="24"/>
  <c r="E63" i="24"/>
  <c r="F61" i="24"/>
  <c r="F59" i="24"/>
  <c r="D57" i="24"/>
  <c r="E55" i="24"/>
  <c r="F53" i="24"/>
  <c r="F51" i="24"/>
  <c r="K74" i="24"/>
  <c r="J72" i="24"/>
  <c r="L69" i="24"/>
  <c r="J67" i="24"/>
  <c r="L64" i="24"/>
  <c r="J62" i="24"/>
  <c r="L59" i="24"/>
  <c r="K57" i="24"/>
  <c r="L54" i="24"/>
  <c r="K52" i="24"/>
  <c r="M67" i="24"/>
  <c r="M71" i="24"/>
  <c r="M63" i="24"/>
  <c r="G35" i="24"/>
  <c r="G69" i="24"/>
  <c r="G53" i="24"/>
  <c r="G19" i="24"/>
  <c r="G72" i="24"/>
  <c r="G38" i="24"/>
  <c r="G68" i="24"/>
  <c r="G34" i="24"/>
  <c r="G30" i="24"/>
  <c r="G64" i="24"/>
  <c r="G60" i="24"/>
  <c r="G26" i="24"/>
  <c r="G56" i="24"/>
  <c r="G22" i="24"/>
  <c r="G52" i="24"/>
  <c r="G18" i="24"/>
  <c r="G37" i="24"/>
  <c r="G71" i="24"/>
  <c r="G67" i="24"/>
  <c r="G33" i="24"/>
  <c r="G63" i="24"/>
  <c r="G29" i="24"/>
  <c r="G25" i="24"/>
  <c r="G59" i="24"/>
  <c r="G55" i="24"/>
  <c r="G21" i="24"/>
  <c r="G17" i="24"/>
  <c r="G51" i="24"/>
  <c r="G108" i="24"/>
  <c r="G74" i="24" s="1"/>
  <c r="G104" i="24"/>
  <c r="G70" i="24" s="1"/>
  <c r="G100" i="24"/>
  <c r="G96" i="24"/>
  <c r="G62" i="24" s="1"/>
  <c r="G92" i="24"/>
  <c r="G58" i="24" s="1"/>
  <c r="E40" i="24"/>
  <c r="E24" i="24"/>
  <c r="M23" i="24"/>
  <c r="G107" i="24"/>
  <c r="G99" i="24"/>
  <c r="G95" i="24"/>
  <c r="G91" i="24"/>
  <c r="E39" i="24"/>
  <c r="E23" i="24"/>
  <c r="E50" i="24"/>
  <c r="D74" i="24"/>
  <c r="E72" i="24"/>
  <c r="F71" i="24"/>
  <c r="F70" i="24"/>
  <c r="C69" i="24"/>
  <c r="C68" i="24"/>
  <c r="D67" i="24"/>
  <c r="E66" i="24"/>
  <c r="F65" i="24"/>
  <c r="F64" i="24"/>
  <c r="C63" i="24"/>
  <c r="C62" i="24"/>
  <c r="D61" i="24"/>
  <c r="D60" i="24"/>
  <c r="E59" i="24"/>
  <c r="F57" i="24"/>
  <c r="F56" i="24"/>
  <c r="C55" i="24"/>
  <c r="C54" i="24"/>
  <c r="D53" i="24"/>
  <c r="D52" i="24"/>
  <c r="E51" i="24"/>
  <c r="L50" i="24"/>
  <c r="J74" i="24"/>
  <c r="J73" i="24"/>
  <c r="L71" i="24"/>
  <c r="K70" i="24"/>
  <c r="K69" i="24"/>
  <c r="J68" i="24"/>
  <c r="L66" i="24"/>
  <c r="L65" i="24"/>
  <c r="K64" i="24"/>
  <c r="J63" i="24"/>
  <c r="M61" i="24"/>
  <c r="L60" i="24"/>
  <c r="K59" i="24"/>
  <c r="J58" i="24"/>
  <c r="J57" i="24"/>
  <c r="L55" i="24"/>
  <c r="K54" i="24"/>
  <c r="K53" i="24"/>
  <c r="J52" i="24"/>
  <c r="M16" i="24"/>
  <c r="D50" i="24"/>
  <c r="C74" i="24"/>
  <c r="D73" i="24"/>
  <c r="D72" i="24"/>
  <c r="E71" i="24"/>
  <c r="F69" i="24"/>
  <c r="F68" i="24"/>
  <c r="C67" i="24"/>
  <c r="D66" i="24"/>
  <c r="E64" i="24"/>
  <c r="F63" i="24"/>
  <c r="F62" i="24"/>
  <c r="C61" i="24"/>
  <c r="C60" i="24"/>
  <c r="D59" i="24"/>
  <c r="D58" i="24"/>
  <c r="E56" i="24"/>
  <c r="F55" i="24"/>
  <c r="F54" i="24"/>
  <c r="C53" i="24"/>
  <c r="C52" i="24"/>
  <c r="D51" i="24"/>
  <c r="K50" i="24"/>
  <c r="L72" i="24"/>
  <c r="K71" i="24"/>
  <c r="J70" i="24"/>
  <c r="J69" i="24"/>
  <c r="L67" i="24"/>
  <c r="K66" i="24"/>
  <c r="K65" i="24"/>
  <c r="J64" i="24"/>
  <c r="L62" i="24"/>
  <c r="L61" i="24"/>
  <c r="K60" i="24"/>
  <c r="J59" i="24"/>
  <c r="L56" i="24"/>
  <c r="K55" i="24"/>
  <c r="J54" i="24"/>
  <c r="J53" i="24"/>
  <c r="L51" i="24"/>
  <c r="M59" i="24"/>
  <c r="M74" i="24"/>
  <c r="M72" i="24"/>
  <c r="M70" i="24"/>
  <c r="M68" i="24"/>
  <c r="M66" i="24"/>
  <c r="M64" i="24"/>
  <c r="M62" i="24"/>
  <c r="M60" i="24"/>
  <c r="M58" i="24"/>
  <c r="M56" i="24"/>
  <c r="M54" i="24"/>
  <c r="M52" i="24"/>
  <c r="G20" i="24"/>
  <c r="G36" i="24" l="1"/>
  <c r="G40" i="24"/>
  <c r="G50" i="24"/>
  <c r="G24" i="24"/>
  <c r="G57" i="24"/>
  <c r="G23" i="24"/>
  <c r="G28" i="24"/>
  <c r="G61" i="24"/>
  <c r="G27" i="24"/>
  <c r="G32" i="24"/>
  <c r="G66" i="24"/>
  <c r="G31" i="24"/>
  <c r="G65" i="24"/>
  <c r="G73" i="24"/>
  <c r="G39" i="24"/>
  <c r="D316" i="33" l="1"/>
  <c r="E316" i="33"/>
  <c r="F316" i="33"/>
  <c r="G316" i="33"/>
  <c r="H316" i="33"/>
  <c r="I316" i="33"/>
  <c r="J316" i="33"/>
  <c r="K316" i="33"/>
  <c r="L316" i="33"/>
  <c r="M316" i="33"/>
  <c r="N316" i="33"/>
  <c r="O316" i="33"/>
  <c r="P316" i="33"/>
  <c r="Q316" i="33"/>
  <c r="R316" i="33"/>
  <c r="S316" i="33"/>
  <c r="T316" i="33"/>
  <c r="U316" i="33"/>
  <c r="V316" i="33"/>
  <c r="W316" i="33"/>
  <c r="X316" i="33"/>
  <c r="Y316" i="33"/>
  <c r="C316" i="33"/>
  <c r="D312" i="33"/>
  <c r="E312" i="33"/>
  <c r="F312" i="33"/>
  <c r="G312" i="33"/>
  <c r="H312" i="33"/>
  <c r="I312" i="33"/>
  <c r="J312" i="33"/>
  <c r="K312" i="33"/>
  <c r="L312" i="33"/>
  <c r="M312" i="33"/>
  <c r="N312" i="33"/>
  <c r="O312" i="33"/>
  <c r="P312" i="33"/>
  <c r="Q312" i="33"/>
  <c r="R312" i="33"/>
  <c r="S312" i="33"/>
  <c r="T312" i="33"/>
  <c r="U312" i="33"/>
  <c r="V312" i="33"/>
  <c r="W312" i="33"/>
  <c r="X312" i="33"/>
  <c r="Y312" i="33"/>
  <c r="C312" i="33"/>
  <c r="D308" i="33"/>
  <c r="E308" i="33"/>
  <c r="F308" i="33"/>
  <c r="G308" i="33"/>
  <c r="H308" i="33"/>
  <c r="I308" i="33"/>
  <c r="J308" i="33"/>
  <c r="K308" i="33"/>
  <c r="L308" i="33"/>
  <c r="M308" i="33"/>
  <c r="N308" i="33"/>
  <c r="O308" i="33"/>
  <c r="P308" i="33"/>
  <c r="X308" i="33"/>
  <c r="Y308" i="33"/>
  <c r="Z308" i="33"/>
  <c r="AA308" i="33"/>
  <c r="AB308" i="33"/>
  <c r="AC308" i="33"/>
  <c r="AD308" i="33"/>
  <c r="D309" i="33"/>
  <c r="E309" i="33"/>
  <c r="F309" i="33"/>
  <c r="AD309" i="33"/>
  <c r="D310" i="33"/>
  <c r="E310" i="33"/>
  <c r="D311" i="33"/>
  <c r="E311" i="33"/>
  <c r="F311" i="33"/>
  <c r="G311" i="33"/>
  <c r="H311" i="33"/>
  <c r="I311" i="33"/>
  <c r="J311" i="33"/>
  <c r="AM275" i="33"/>
  <c r="AI275" i="33"/>
  <c r="AJ275" i="33"/>
  <c r="AK275" i="33"/>
  <c r="AL275" i="33"/>
  <c r="T277" i="33"/>
  <c r="U277" i="33" s="1"/>
  <c r="V277" i="33" s="1"/>
  <c r="W277" i="33" s="1"/>
  <c r="X277" i="33" s="1"/>
  <c r="Y277" i="33" s="1"/>
  <c r="Z277" i="33" s="1"/>
  <c r="AA277" i="33" s="1"/>
  <c r="AB277" i="33" s="1"/>
  <c r="AC277" i="33" s="1"/>
  <c r="AD277" i="33" s="1"/>
  <c r="AE277" i="33" s="1"/>
  <c r="AF277" i="33" s="1"/>
  <c r="AG277" i="33" s="1"/>
  <c r="AH277" i="33" s="1"/>
  <c r="AI277" i="33" s="1"/>
  <c r="AJ277" i="33" s="1"/>
  <c r="AK277" i="33" s="1"/>
  <c r="AL277" i="33" s="1"/>
  <c r="AM277" i="33" s="1"/>
  <c r="T276" i="33"/>
  <c r="U276" i="33" s="1"/>
  <c r="V276" i="33" s="1"/>
  <c r="W276" i="33" s="1"/>
  <c r="X276" i="33" s="1"/>
  <c r="Y276" i="33" s="1"/>
  <c r="Z276" i="33" s="1"/>
  <c r="AA276" i="33" s="1"/>
  <c r="AB276" i="33" s="1"/>
  <c r="AC276" i="33" s="1"/>
  <c r="AD276" i="33" s="1"/>
  <c r="AE276" i="33" s="1"/>
  <c r="AF276" i="33" s="1"/>
  <c r="AG276" i="33" s="1"/>
  <c r="AH276" i="33" s="1"/>
  <c r="AI276" i="33" s="1"/>
  <c r="AJ276" i="33" s="1"/>
  <c r="AK276" i="33" s="1"/>
  <c r="AL276" i="33" s="1"/>
  <c r="AM276" i="33" s="1"/>
  <c r="N277" i="33"/>
  <c r="O277" i="33" s="1"/>
  <c r="P277" i="33" s="1"/>
  <c r="Q277" i="33" s="1"/>
  <c r="R277" i="33" s="1"/>
  <c r="N276" i="33"/>
  <c r="O276" i="33" s="1"/>
  <c r="P276" i="33" s="1"/>
  <c r="Q276" i="33" s="1"/>
  <c r="R276" i="33" s="1"/>
  <c r="H277" i="33"/>
  <c r="I277" i="33" s="1"/>
  <c r="J277" i="33" s="1"/>
  <c r="K277" i="33" s="1"/>
  <c r="L277" i="33" s="1"/>
  <c r="H276" i="33"/>
  <c r="I276" i="33" s="1"/>
  <c r="J276" i="33" s="1"/>
  <c r="K276" i="33" s="1"/>
  <c r="L276" i="33" s="1"/>
  <c r="D277" i="33"/>
  <c r="E277" i="33" s="1"/>
  <c r="F277" i="33" s="1"/>
  <c r="D276" i="33"/>
  <c r="E276" i="33" s="1"/>
  <c r="F276" i="33" s="1"/>
  <c r="F351" i="33"/>
  <c r="F352" i="33"/>
  <c r="H348" i="33"/>
  <c r="H347" i="33"/>
  <c r="H346" i="33"/>
  <c r="G348" i="33"/>
  <c r="F343" i="33"/>
  <c r="G341" i="33" l="1"/>
  <c r="G342" i="33"/>
  <c r="F342" i="33"/>
  <c r="G336" i="33"/>
  <c r="G335" i="33"/>
  <c r="F336" i="33"/>
  <c r="F335" i="33"/>
  <c r="F334" i="33"/>
  <c r="H336" i="33"/>
  <c r="H335" i="33"/>
  <c r="G328" i="33"/>
  <c r="G327" i="33"/>
  <c r="F328" i="33"/>
  <c r="F327" i="33"/>
  <c r="F326" i="33"/>
  <c r="H328" i="33"/>
  <c r="H327" i="33"/>
  <c r="F322" i="33"/>
  <c r="F9" i="8" l="1"/>
  <c r="E9" i="8"/>
  <c r="D9" i="8"/>
  <c r="C9" i="8"/>
  <c r="C8" i="8"/>
  <c r="F7" i="8"/>
  <c r="E7" i="8"/>
  <c r="D7" i="8"/>
  <c r="C7" i="8"/>
  <c r="K65" i="33" l="1"/>
  <c r="E139" i="33"/>
  <c r="F139" i="33"/>
  <c r="G139" i="33"/>
  <c r="H139" i="33"/>
  <c r="I139" i="33"/>
  <c r="J139" i="33"/>
  <c r="K139" i="33"/>
  <c r="D139" i="33"/>
  <c r="E130" i="33"/>
  <c r="F130" i="33"/>
  <c r="G130" i="33"/>
  <c r="H130" i="33"/>
  <c r="I130" i="33"/>
  <c r="J130" i="33"/>
  <c r="K130" i="33"/>
  <c r="D130" i="33"/>
  <c r="L120" i="33"/>
  <c r="M120" i="33" s="1"/>
  <c r="N120" i="33" s="1"/>
  <c r="O120" i="33" s="1"/>
  <c r="P120" i="33" s="1"/>
  <c r="L111" i="33"/>
  <c r="M111" i="33" s="1"/>
  <c r="N111" i="33" s="1"/>
  <c r="O111" i="33" s="1"/>
  <c r="P111" i="33" s="1"/>
  <c r="Q111" i="33" s="1"/>
  <c r="R111" i="33" s="1"/>
  <c r="S111" i="33" s="1"/>
  <c r="T111" i="33" s="1"/>
  <c r="U111" i="33" s="1"/>
  <c r="V111" i="33" s="1"/>
  <c r="W111" i="33" s="1"/>
  <c r="X111" i="33" s="1"/>
  <c r="Y111" i="33" s="1"/>
  <c r="Z111" i="33" s="1"/>
  <c r="AA111" i="33" s="1"/>
  <c r="AB111" i="33" s="1"/>
  <c r="AC111" i="33" s="1"/>
  <c r="AD111" i="33" s="1"/>
  <c r="AE111" i="33" s="1"/>
  <c r="L54" i="33"/>
  <c r="M54" i="33" s="1"/>
  <c r="N54" i="33" s="1"/>
  <c r="O54" i="33" s="1"/>
  <c r="P54" i="33" s="1"/>
  <c r="Q54" i="33" s="1"/>
  <c r="R54" i="33" s="1"/>
  <c r="S54" i="33" s="1"/>
  <c r="T54" i="33" s="1"/>
  <c r="U54" i="33" s="1"/>
  <c r="V54" i="33" s="1"/>
  <c r="W54" i="33" s="1"/>
  <c r="X54" i="33" s="1"/>
  <c r="Y54" i="33" s="1"/>
  <c r="Z54" i="33" s="1"/>
  <c r="AA54" i="33" s="1"/>
  <c r="AB54" i="33" s="1"/>
  <c r="AC54" i="33" s="1"/>
  <c r="AD54" i="33" s="1"/>
  <c r="AE54" i="33" s="1"/>
  <c r="L45" i="33"/>
  <c r="M45" i="33" s="1"/>
  <c r="N45" i="33" s="1"/>
  <c r="O45" i="33" s="1"/>
  <c r="P45" i="33" s="1"/>
  <c r="Q45" i="33" s="1"/>
  <c r="R45" i="33" s="1"/>
  <c r="S45" i="33" s="1"/>
  <c r="T45" i="33" s="1"/>
  <c r="U45" i="33" s="1"/>
  <c r="V45" i="33" s="1"/>
  <c r="W45" i="33" s="1"/>
  <c r="X45" i="33" s="1"/>
  <c r="Y45" i="33" s="1"/>
  <c r="Z45" i="33" s="1"/>
  <c r="AA45" i="33" s="1"/>
  <c r="AB45" i="33" s="1"/>
  <c r="AC45" i="33" s="1"/>
  <c r="AD45" i="33" s="1"/>
  <c r="AE45" i="33" s="1"/>
  <c r="Q120" i="33" l="1"/>
  <c r="R120" i="33" s="1"/>
  <c r="S120" i="33" s="1"/>
  <c r="T120" i="33" s="1"/>
  <c r="P139" i="33"/>
  <c r="L130" i="33"/>
  <c r="L139" i="33"/>
  <c r="AE130" i="33"/>
  <c r="N139" i="33"/>
  <c r="O139" i="33"/>
  <c r="M139" i="33"/>
  <c r="AB130" i="33"/>
  <c r="X130" i="33"/>
  <c r="T130" i="33"/>
  <c r="P130" i="33"/>
  <c r="AA130" i="33"/>
  <c r="W130" i="33"/>
  <c r="S130" i="33"/>
  <c r="O130" i="33"/>
  <c r="AD130" i="33"/>
  <c r="Z130" i="33"/>
  <c r="V130" i="33"/>
  <c r="R130" i="33"/>
  <c r="N130" i="33"/>
  <c r="AC130" i="33"/>
  <c r="Y130" i="33"/>
  <c r="U130" i="33"/>
  <c r="Q130" i="33"/>
  <c r="M130" i="33"/>
  <c r="U120" i="33" l="1"/>
  <c r="T139" i="33"/>
  <c r="Q139" i="33"/>
  <c r="R139" i="33"/>
  <c r="S139" i="33"/>
  <c r="V120" i="33" l="1"/>
  <c r="U139" i="33"/>
  <c r="AG7" i="13"/>
  <c r="AF7" i="13"/>
  <c r="AE7" i="13"/>
  <c r="AD7" i="13"/>
  <c r="AC7" i="13"/>
  <c r="AB7" i="13"/>
  <c r="W120" i="33" l="1"/>
  <c r="V139" i="33"/>
  <c r="AG26" i="13" l="1"/>
  <c r="AG24" i="13"/>
  <c r="AG22" i="13"/>
  <c r="AG20" i="13"/>
  <c r="AG18" i="13"/>
  <c r="AG16" i="13"/>
  <c r="AG14" i="13"/>
  <c r="AG12" i="13"/>
  <c r="AG10" i="13"/>
  <c r="AG13" i="13"/>
  <c r="AG8" i="13"/>
  <c r="X120" i="33"/>
  <c r="W139" i="33"/>
  <c r="AG17" i="13" l="1"/>
  <c r="AG25" i="13"/>
  <c r="AG21" i="13"/>
  <c r="AG15" i="13"/>
  <c r="AG9" i="13"/>
  <c r="AG11" i="13"/>
  <c r="AG27" i="13"/>
  <c r="AG19" i="13"/>
  <c r="AG23" i="13"/>
  <c r="AG28" i="13"/>
  <c r="Y120" i="33"/>
  <c r="X139" i="33"/>
  <c r="AG29" i="13" l="1"/>
  <c r="Z120" i="33"/>
  <c r="Y139" i="33"/>
  <c r="AG30" i="13" l="1"/>
  <c r="AA120" i="33"/>
  <c r="Z139" i="33"/>
  <c r="AG31" i="13" l="1"/>
  <c r="AB120" i="33"/>
  <c r="AA139" i="33"/>
  <c r="AG32" i="13" l="1"/>
  <c r="AC120" i="33"/>
  <c r="AB139" i="33"/>
  <c r="AD120" i="33" l="1"/>
  <c r="AC139" i="33"/>
  <c r="AE120" i="33" l="1"/>
  <c r="AE139" i="33" s="1"/>
  <c r="AD139" i="33"/>
  <c r="AW9" i="13" l="1"/>
  <c r="AX9" i="13"/>
  <c r="AW10" i="13"/>
  <c r="AX10" i="13"/>
  <c r="AW11" i="13"/>
  <c r="AX11" i="13"/>
  <c r="AW12" i="13"/>
  <c r="AX12" i="13"/>
  <c r="AW13" i="13"/>
  <c r="AX13" i="13"/>
  <c r="AW14" i="13"/>
  <c r="AX14" i="13"/>
  <c r="AW15" i="13"/>
  <c r="AX15" i="13"/>
  <c r="AW16" i="13"/>
  <c r="AX16" i="13"/>
  <c r="AW17" i="13"/>
  <c r="AX17" i="13"/>
  <c r="AW18" i="13"/>
  <c r="AX18" i="13"/>
  <c r="AW19" i="13"/>
  <c r="AX19" i="13"/>
  <c r="AW20" i="13"/>
  <c r="AX20" i="13"/>
  <c r="AW21" i="13"/>
  <c r="AX21" i="13"/>
  <c r="AW22" i="13"/>
  <c r="AX22" i="13"/>
  <c r="AW23" i="13"/>
  <c r="AX23" i="13"/>
  <c r="AW24" i="13"/>
  <c r="AX24" i="13"/>
  <c r="AW25" i="13"/>
  <c r="AX25" i="13"/>
  <c r="AW26" i="13"/>
  <c r="AX26" i="13"/>
  <c r="AW27" i="13"/>
  <c r="AX27" i="13"/>
  <c r="AW28" i="13"/>
  <c r="AX28" i="13"/>
  <c r="AW29" i="13"/>
  <c r="AX29" i="13"/>
  <c r="AW30" i="13"/>
  <c r="AX30" i="13"/>
  <c r="AW31" i="13"/>
  <c r="AX31" i="13"/>
  <c r="AW32" i="13"/>
  <c r="AX32" i="13"/>
  <c r="AX8" i="13"/>
  <c r="AW8" i="13"/>
  <c r="AN31" i="13" l="1"/>
  <c r="AE31" i="13"/>
  <c r="AO32" i="13"/>
  <c r="AF32" i="13"/>
  <c r="AO31" i="13"/>
  <c r="AF31" i="13"/>
  <c r="AO30" i="13"/>
  <c r="AF30" i="13"/>
  <c r="AO29" i="13"/>
  <c r="AF29" i="13"/>
  <c r="AO28" i="13"/>
  <c r="AF28" i="13"/>
  <c r="AO27" i="13"/>
  <c r="AF27" i="13"/>
  <c r="AO26" i="13"/>
  <c r="AF26" i="13"/>
  <c r="AO25" i="13"/>
  <c r="AF25" i="13"/>
  <c r="AO24" i="13"/>
  <c r="AF24" i="13"/>
  <c r="AO23" i="13"/>
  <c r="AF23" i="13"/>
  <c r="AO22" i="13"/>
  <c r="AF22" i="13"/>
  <c r="AO21" i="13"/>
  <c r="AF21" i="13"/>
  <c r="AO20" i="13"/>
  <c r="AF20" i="13"/>
  <c r="AO19" i="13"/>
  <c r="AF19" i="13"/>
  <c r="AO18" i="13"/>
  <c r="AF18" i="13"/>
  <c r="AO17" i="13"/>
  <c r="AF17" i="13"/>
  <c r="AO16" i="13"/>
  <c r="AF16" i="13"/>
  <c r="AO15" i="13"/>
  <c r="AF15" i="13"/>
  <c r="AO14" i="13"/>
  <c r="AF14" i="13"/>
  <c r="AO13" i="13"/>
  <c r="AF13" i="13"/>
  <c r="AO12" i="13"/>
  <c r="AF12" i="13"/>
  <c r="AO11" i="13"/>
  <c r="AF11" i="13"/>
  <c r="AO10" i="13"/>
  <c r="AF10" i="13"/>
  <c r="AO9" i="13"/>
  <c r="AF9" i="13"/>
  <c r="AN8" i="13"/>
  <c r="AE8" i="13"/>
  <c r="AN32" i="13"/>
  <c r="AE32" i="13"/>
  <c r="AN30" i="13"/>
  <c r="AE30" i="13"/>
  <c r="AN29" i="13"/>
  <c r="AE29" i="13"/>
  <c r="AN28" i="13"/>
  <c r="AE28" i="13"/>
  <c r="AN27" i="13"/>
  <c r="AE27" i="13"/>
  <c r="AN26" i="13"/>
  <c r="AE26" i="13"/>
  <c r="AN25" i="13"/>
  <c r="AE25" i="13"/>
  <c r="AN24" i="13"/>
  <c r="AE24" i="13"/>
  <c r="AN23" i="13"/>
  <c r="AE23" i="13"/>
  <c r="AN22" i="13"/>
  <c r="AE22" i="13"/>
  <c r="AN21" i="13"/>
  <c r="AE21" i="13"/>
  <c r="AN20" i="13"/>
  <c r="AE20" i="13"/>
  <c r="AN19" i="13"/>
  <c r="AE19" i="13"/>
  <c r="AN18" i="13"/>
  <c r="AE18" i="13"/>
  <c r="AN17" i="13"/>
  <c r="AE17" i="13"/>
  <c r="AN16" i="13"/>
  <c r="AE16" i="13"/>
  <c r="AN15" i="13"/>
  <c r="AE15" i="13"/>
  <c r="AN14" i="13"/>
  <c r="AE14" i="13"/>
  <c r="AN13" i="13"/>
  <c r="AE13" i="13"/>
  <c r="AN12" i="13"/>
  <c r="AE12" i="13"/>
  <c r="AN11" i="13"/>
  <c r="AE11" i="13"/>
  <c r="AN10" i="13"/>
  <c r="AE10" i="13"/>
  <c r="AN9" i="13"/>
  <c r="AE9" i="13"/>
  <c r="AO8" i="13"/>
  <c r="AF8" i="13"/>
  <c r="AT18" i="13" l="1"/>
  <c r="AT8" i="13"/>
  <c r="AT19" i="13"/>
  <c r="AT23" i="13"/>
  <c r="AT24" i="13"/>
  <c r="AT21" i="13"/>
  <c r="AT10" i="13"/>
  <c r="AT26" i="13"/>
  <c r="AT31" i="13"/>
  <c r="AT12" i="13"/>
  <c r="AT28" i="13"/>
  <c r="AT9" i="13"/>
  <c r="AT25" i="13"/>
  <c r="AT14" i="13"/>
  <c r="AT30" i="13"/>
  <c r="AT11" i="13"/>
  <c r="AT16" i="13"/>
  <c r="AT32" i="13"/>
  <c r="AT13" i="13"/>
  <c r="AT29" i="13"/>
  <c r="AT15" i="13"/>
  <c r="AT20" i="13"/>
  <c r="AT17" i="13"/>
  <c r="AT22" i="13"/>
  <c r="AT27" i="13"/>
  <c r="AV31" i="13"/>
  <c r="AV23" i="13"/>
  <c r="AV15" i="13"/>
  <c r="AV30" i="13"/>
  <c r="AV22" i="13"/>
  <c r="AV14" i="13"/>
  <c r="AM8" i="13"/>
  <c r="AV8" i="13"/>
  <c r="AV29" i="13"/>
  <c r="AV25" i="13"/>
  <c r="AV21" i="13"/>
  <c r="AV17" i="13"/>
  <c r="AV13" i="13"/>
  <c r="AV9" i="13"/>
  <c r="AV27" i="13"/>
  <c r="AV19" i="13"/>
  <c r="AV11" i="13"/>
  <c r="AV26" i="13"/>
  <c r="AV18" i="13"/>
  <c r="AV10" i="13"/>
  <c r="AV32" i="13"/>
  <c r="AV28" i="13"/>
  <c r="AV24" i="13"/>
  <c r="AV20" i="13"/>
  <c r="AV16" i="13"/>
  <c r="AV12" i="13"/>
  <c r="AD32" i="13" l="1"/>
  <c r="AM32" i="13"/>
  <c r="AD11" i="13"/>
  <c r="AM11" i="13"/>
  <c r="AD13" i="13"/>
  <c r="AM13" i="13"/>
  <c r="AD21" i="13"/>
  <c r="AM21" i="13"/>
  <c r="AD14" i="13"/>
  <c r="AM14" i="13"/>
  <c r="AD23" i="13"/>
  <c r="AM23" i="13"/>
  <c r="AD12" i="13"/>
  <c r="AM12" i="13"/>
  <c r="AD20" i="13"/>
  <c r="AM20" i="13"/>
  <c r="AD28" i="13"/>
  <c r="AM28" i="13"/>
  <c r="AD10" i="13"/>
  <c r="AM10" i="13"/>
  <c r="AD26" i="13"/>
  <c r="AM26" i="13"/>
  <c r="AD19" i="13"/>
  <c r="AM19" i="13"/>
  <c r="AD9" i="13"/>
  <c r="AM9" i="13"/>
  <c r="AD17" i="13"/>
  <c r="AM17" i="13"/>
  <c r="AD25" i="13"/>
  <c r="AM25" i="13"/>
  <c r="AD22" i="13"/>
  <c r="AM22" i="13"/>
  <c r="AD15" i="13"/>
  <c r="AM15" i="13"/>
  <c r="AD31" i="13"/>
  <c r="AM31" i="13"/>
  <c r="AK15" i="13"/>
  <c r="AB15" i="13"/>
  <c r="AK13" i="13"/>
  <c r="AB13" i="13"/>
  <c r="AK28" i="13"/>
  <c r="AB28" i="13"/>
  <c r="AK26" i="13"/>
  <c r="AB26" i="13"/>
  <c r="AK31" i="13"/>
  <c r="AB31" i="13"/>
  <c r="AK21" i="13"/>
  <c r="AB21" i="13"/>
  <c r="AK24" i="13"/>
  <c r="AB24" i="13"/>
  <c r="AK8" i="13"/>
  <c r="AB8" i="13"/>
  <c r="AK22" i="13"/>
  <c r="AB22" i="13"/>
  <c r="AK23" i="13"/>
  <c r="AB23" i="13"/>
  <c r="AK17" i="13"/>
  <c r="AB17" i="13"/>
  <c r="AK20" i="13"/>
  <c r="AB20" i="13"/>
  <c r="AK27" i="13"/>
  <c r="AB27" i="13"/>
  <c r="AK18" i="13"/>
  <c r="AB18" i="13"/>
  <c r="AK29" i="13"/>
  <c r="AB29" i="13"/>
  <c r="AK32" i="13"/>
  <c r="AB32" i="13"/>
  <c r="AK16" i="13"/>
  <c r="AB16" i="13"/>
  <c r="AK19" i="13"/>
  <c r="AB19" i="13"/>
  <c r="AK30" i="13"/>
  <c r="AB30" i="13"/>
  <c r="AK14" i="13"/>
  <c r="AB14" i="13"/>
  <c r="AK25" i="13"/>
  <c r="AB25" i="13"/>
  <c r="AK9" i="13"/>
  <c r="AB9" i="13"/>
  <c r="AK12" i="13"/>
  <c r="AB12" i="13"/>
  <c r="AK11" i="13"/>
  <c r="AB11" i="13"/>
  <c r="AK10" i="13"/>
  <c r="AB10" i="13"/>
  <c r="AD16" i="13"/>
  <c r="AM16" i="13"/>
  <c r="AD24" i="13"/>
  <c r="AM24" i="13"/>
  <c r="AD18" i="13"/>
  <c r="AM18" i="13"/>
  <c r="AD27" i="13"/>
  <c r="AM27" i="13"/>
  <c r="AD29" i="13"/>
  <c r="AM29" i="13"/>
  <c r="AD30" i="13"/>
  <c r="AM30" i="13"/>
  <c r="AD8" i="13"/>
  <c r="J12" i="13"/>
  <c r="J20" i="13"/>
  <c r="J9" i="13"/>
  <c r="J25" i="13"/>
  <c r="J8" i="13"/>
  <c r="J14" i="13"/>
  <c r="J22" i="13"/>
  <c r="J30" i="13"/>
  <c r="J18" i="13"/>
  <c r="B28" i="34"/>
  <c r="B29" i="34"/>
  <c r="B30" i="34"/>
  <c r="B31" i="34"/>
  <c r="B27" i="34"/>
  <c r="B21" i="34"/>
  <c r="D13" i="34"/>
  <c r="E13" i="34"/>
  <c r="F13" i="34"/>
  <c r="G13" i="34"/>
  <c r="H13" i="34"/>
  <c r="I13" i="34"/>
  <c r="J13" i="34"/>
  <c r="K13" i="34"/>
  <c r="L13" i="34"/>
  <c r="M13" i="34"/>
  <c r="N13" i="34"/>
  <c r="O13" i="34"/>
  <c r="P13" i="34"/>
  <c r="Q13" i="34"/>
  <c r="R13" i="34"/>
  <c r="S13" i="34"/>
  <c r="T13" i="34"/>
  <c r="U13" i="34"/>
  <c r="V13" i="34"/>
  <c r="W13" i="34"/>
  <c r="X13" i="34"/>
  <c r="Y13" i="34"/>
  <c r="Z13" i="34"/>
  <c r="AA13" i="34"/>
  <c r="C13" i="34"/>
  <c r="J28" i="13" l="1"/>
  <c r="G23" i="13"/>
  <c r="J26" i="13"/>
  <c r="J24" i="13"/>
  <c r="AL14" i="13"/>
  <c r="AC9" i="13"/>
  <c r="G9" i="13"/>
  <c r="G30" i="13"/>
  <c r="AL26" i="13"/>
  <c r="G15" i="13"/>
  <c r="AL28" i="13"/>
  <c r="AL16" i="13"/>
  <c r="AL13" i="13"/>
  <c r="G11" i="13"/>
  <c r="AL18" i="13"/>
  <c r="AL30" i="13"/>
  <c r="AL20" i="13"/>
  <c r="AL23" i="13"/>
  <c r="AL25" i="13"/>
  <c r="AL9" i="13"/>
  <c r="AL32" i="13"/>
  <c r="AL27" i="13"/>
  <c r="AL29" i="13"/>
  <c r="F25" i="13"/>
  <c r="F8" i="13"/>
  <c r="F18" i="13"/>
  <c r="F21" i="13"/>
  <c r="G21" i="13"/>
  <c r="F27" i="13"/>
  <c r="F20" i="13"/>
  <c r="G31" i="13"/>
  <c r="G10" i="13"/>
  <c r="G32" i="13"/>
  <c r="AC32" i="13"/>
  <c r="Y30" i="13"/>
  <c r="AQ30" i="13" s="1"/>
  <c r="Y20" i="13"/>
  <c r="AQ20" i="13" s="1"/>
  <c r="G14" i="13"/>
  <c r="Y9" i="13"/>
  <c r="AQ9" i="13" s="1"/>
  <c r="G20" i="13"/>
  <c r="AC20" i="13"/>
  <c r="Y32" i="13"/>
  <c r="AQ32" i="13" s="1"/>
  <c r="G26" i="13"/>
  <c r="G24" i="13"/>
  <c r="G13" i="13"/>
  <c r="G25" i="13"/>
  <c r="J10" i="13"/>
  <c r="J19" i="13"/>
  <c r="J21" i="13"/>
  <c r="J15" i="13"/>
  <c r="J17" i="13"/>
  <c r="J16" i="13"/>
  <c r="J11" i="13"/>
  <c r="J13" i="13"/>
  <c r="J31" i="13"/>
  <c r="F32" i="13"/>
  <c r="F15" i="13"/>
  <c r="G19" i="13"/>
  <c r="AL10" i="13"/>
  <c r="AL24" i="13"/>
  <c r="AL19" i="13"/>
  <c r="AL21" i="13"/>
  <c r="G16" i="13"/>
  <c r="AL22" i="13"/>
  <c r="AL8" i="13"/>
  <c r="Y28" i="13"/>
  <c r="AQ28" i="13" s="1"/>
  <c r="AL12" i="13"/>
  <c r="AL15" i="13"/>
  <c r="G22" i="13"/>
  <c r="AL17" i="13"/>
  <c r="G28" i="13"/>
  <c r="G12" i="13"/>
  <c r="Y16" i="13"/>
  <c r="AQ16" i="13" s="1"/>
  <c r="AL11" i="13"/>
  <c r="G18" i="13"/>
  <c r="Y13" i="13"/>
  <c r="AQ13" i="13" s="1"/>
  <c r="AL31" i="13"/>
  <c r="G27" i="13"/>
  <c r="G29" i="13"/>
  <c r="G8" i="13"/>
  <c r="J23" i="13"/>
  <c r="J32" i="13"/>
  <c r="J27" i="13"/>
  <c r="J29" i="13"/>
  <c r="G17" i="13"/>
  <c r="O17" i="7"/>
  <c r="H13" i="7"/>
  <c r="U15" i="11"/>
  <c r="W15" i="11" s="1"/>
  <c r="Y15" i="11" s="1"/>
  <c r="AA15" i="11" s="1"/>
  <c r="T15" i="11"/>
  <c r="V15" i="11" s="1"/>
  <c r="X15" i="11" s="1"/>
  <c r="Z15" i="11" s="1"/>
  <c r="G15" i="11"/>
  <c r="I15" i="11" s="1"/>
  <c r="K15" i="11" s="1"/>
  <c r="M15" i="11" s="1"/>
  <c r="O15" i="11" s="1"/>
  <c r="Q15" i="11" s="1"/>
  <c r="H15" i="11"/>
  <c r="J15" i="11" s="1"/>
  <c r="L15" i="11" s="1"/>
  <c r="N15" i="11" s="1"/>
  <c r="P15" i="11" s="1"/>
  <c r="F15" i="11"/>
  <c r="G14" i="11"/>
  <c r="I14" i="11" s="1"/>
  <c r="K14" i="11" s="1"/>
  <c r="M14" i="11" s="1"/>
  <c r="O14" i="11" s="1"/>
  <c r="Q14" i="11" s="1"/>
  <c r="S14" i="11" s="1"/>
  <c r="U14" i="11" s="1"/>
  <c r="W14" i="11" s="1"/>
  <c r="Y14" i="11" s="1"/>
  <c r="AA14" i="11" s="1"/>
  <c r="H14" i="11"/>
  <c r="J14" i="11" s="1"/>
  <c r="L14" i="11" s="1"/>
  <c r="N14" i="11" s="1"/>
  <c r="P14" i="11" s="1"/>
  <c r="R14" i="11" s="1"/>
  <c r="T14" i="11" s="1"/>
  <c r="V14" i="11" s="1"/>
  <c r="X14" i="11" s="1"/>
  <c r="Z14" i="11" s="1"/>
  <c r="F14" i="11"/>
  <c r="O13" i="11"/>
  <c r="Q13" i="11" s="1"/>
  <c r="S13" i="11" s="1"/>
  <c r="U13" i="11" s="1"/>
  <c r="W13" i="11" s="1"/>
  <c r="Y13" i="11" s="1"/>
  <c r="AA13" i="11" s="1"/>
  <c r="P13" i="11"/>
  <c r="R13" i="11" s="1"/>
  <c r="T13" i="11" s="1"/>
  <c r="V13" i="11" s="1"/>
  <c r="X13" i="11" s="1"/>
  <c r="Z13" i="11" s="1"/>
  <c r="N13" i="11"/>
  <c r="G13" i="11"/>
  <c r="I13" i="11" s="1"/>
  <c r="K13" i="11" s="1"/>
  <c r="H13" i="11"/>
  <c r="J13" i="11" s="1"/>
  <c r="F13" i="11"/>
  <c r="G9" i="11"/>
  <c r="I9" i="11" s="1"/>
  <c r="F9" i="11"/>
  <c r="H9" i="11" s="1"/>
  <c r="U12" i="11"/>
  <c r="W12" i="11" s="1"/>
  <c r="Y12" i="11" s="1"/>
  <c r="AA12" i="11" s="1"/>
  <c r="T12" i="11"/>
  <c r="V12" i="11" s="1"/>
  <c r="X12" i="11" s="1"/>
  <c r="Z12" i="11" s="1"/>
  <c r="Q12" i="11"/>
  <c r="P12" i="11"/>
  <c r="G12" i="11"/>
  <c r="H12" i="11"/>
  <c r="J12" i="11" s="1"/>
  <c r="L12" i="11" s="1"/>
  <c r="I12" i="11"/>
  <c r="K12" i="11" s="1"/>
  <c r="M12" i="11" s="1"/>
  <c r="F12" i="11"/>
  <c r="G11" i="11"/>
  <c r="H11" i="11"/>
  <c r="J11" i="11" s="1"/>
  <c r="L11" i="11" s="1"/>
  <c r="N11" i="11" s="1"/>
  <c r="P11" i="11" s="1"/>
  <c r="R11" i="11" s="1"/>
  <c r="T11" i="11" s="1"/>
  <c r="V11" i="11" s="1"/>
  <c r="X11" i="11" s="1"/>
  <c r="Z11" i="11" s="1"/>
  <c r="I11" i="11"/>
  <c r="K11" i="11" s="1"/>
  <c r="M11" i="11" s="1"/>
  <c r="O11" i="11" s="1"/>
  <c r="Q11" i="11" s="1"/>
  <c r="S11" i="11" s="1"/>
  <c r="U11" i="11" s="1"/>
  <c r="W11" i="11" s="1"/>
  <c r="Y11" i="11" s="1"/>
  <c r="AA11" i="11" s="1"/>
  <c r="F11" i="11"/>
  <c r="G10" i="11"/>
  <c r="H10" i="11"/>
  <c r="J10" i="11" s="1"/>
  <c r="L10" i="11" s="1"/>
  <c r="N10" i="11" s="1"/>
  <c r="P10" i="11" s="1"/>
  <c r="R10" i="11" s="1"/>
  <c r="T10" i="11" s="1"/>
  <c r="V10" i="11" s="1"/>
  <c r="X10" i="11" s="1"/>
  <c r="Z10" i="11" s="1"/>
  <c r="I10" i="11"/>
  <c r="K10" i="11" s="1"/>
  <c r="M10" i="11" s="1"/>
  <c r="O10" i="11" s="1"/>
  <c r="Q10" i="11" s="1"/>
  <c r="S10" i="11" s="1"/>
  <c r="U10" i="11" s="1"/>
  <c r="W10" i="11" s="1"/>
  <c r="Y10" i="11" s="1"/>
  <c r="AA10" i="11" s="1"/>
  <c r="F10" i="11"/>
  <c r="M9" i="11"/>
  <c r="N9" i="11"/>
  <c r="P9" i="11" s="1"/>
  <c r="R9" i="11" s="1"/>
  <c r="T9" i="11" s="1"/>
  <c r="V9" i="11" s="1"/>
  <c r="X9" i="11" s="1"/>
  <c r="Z9" i="11" s="1"/>
  <c r="O9" i="11"/>
  <c r="Q9" i="11" s="1"/>
  <c r="S9" i="11" s="1"/>
  <c r="U9" i="11" s="1"/>
  <c r="W9" i="11" s="1"/>
  <c r="Y9" i="11" s="1"/>
  <c r="AA9" i="11" s="1"/>
  <c r="L9" i="11"/>
  <c r="G8" i="11"/>
  <c r="H8" i="11"/>
  <c r="J8" i="11" s="1"/>
  <c r="L8" i="11" s="1"/>
  <c r="N8" i="11" s="1"/>
  <c r="P8" i="11" s="1"/>
  <c r="R8" i="11" s="1"/>
  <c r="T8" i="11" s="1"/>
  <c r="V8" i="11" s="1"/>
  <c r="X8" i="11" s="1"/>
  <c r="Z8" i="11" s="1"/>
  <c r="I8" i="11"/>
  <c r="K8" i="11" s="1"/>
  <c r="M8" i="11" s="1"/>
  <c r="O8" i="11" s="1"/>
  <c r="Q8" i="11" s="1"/>
  <c r="S8" i="11" s="1"/>
  <c r="U8" i="11" s="1"/>
  <c r="W8" i="11" s="1"/>
  <c r="Y8" i="11" s="1"/>
  <c r="AA8" i="11" s="1"/>
  <c r="F8" i="11"/>
  <c r="G7" i="11"/>
  <c r="I7" i="11" s="1"/>
  <c r="K7" i="11" s="1"/>
  <c r="M7" i="11" s="1"/>
  <c r="O7" i="11" s="1"/>
  <c r="Q7" i="11" s="1"/>
  <c r="S7" i="11" s="1"/>
  <c r="U7" i="11" s="1"/>
  <c r="W7" i="11" s="1"/>
  <c r="Y7" i="11" s="1"/>
  <c r="AA7" i="11" s="1"/>
  <c r="H7" i="11"/>
  <c r="J7" i="11" s="1"/>
  <c r="L7" i="11" s="1"/>
  <c r="N7" i="11" s="1"/>
  <c r="P7" i="11" s="1"/>
  <c r="R7" i="11" s="1"/>
  <c r="T7" i="11" s="1"/>
  <c r="V7" i="11" s="1"/>
  <c r="X7" i="11" s="1"/>
  <c r="Z7" i="11" s="1"/>
  <c r="F7" i="11"/>
  <c r="E15" i="13" l="1"/>
  <c r="E30" i="13"/>
  <c r="F30" i="13"/>
  <c r="AC30" i="13"/>
  <c r="Y26" i="13"/>
  <c r="AQ26" i="13" s="1"/>
  <c r="AC13" i="13"/>
  <c r="AC18" i="13"/>
  <c r="AC23" i="13"/>
  <c r="AC25" i="13"/>
  <c r="Y18" i="13"/>
  <c r="AQ18" i="13" s="1"/>
  <c r="Z26" i="13"/>
  <c r="AZ26" i="13" s="1"/>
  <c r="AU26" i="13"/>
  <c r="Z14" i="13"/>
  <c r="AZ14" i="13" s="1"/>
  <c r="AU14" i="13"/>
  <c r="Z10" i="13"/>
  <c r="AZ10" i="13" s="1"/>
  <c r="AU10" i="13"/>
  <c r="G33" i="7"/>
  <c r="H33" i="7"/>
  <c r="H29" i="7"/>
  <c r="G16" i="7"/>
  <c r="H16" i="7"/>
  <c r="G15" i="7"/>
  <c r="H15" i="7"/>
  <c r="Z8" i="13"/>
  <c r="AZ8" i="13" s="1"/>
  <c r="AU8" i="13"/>
  <c r="Z13" i="13"/>
  <c r="AZ13" i="13" s="1"/>
  <c r="AU13" i="13"/>
  <c r="Z27" i="13"/>
  <c r="AZ27" i="13" s="1"/>
  <c r="AU27" i="13"/>
  <c r="Z30" i="13"/>
  <c r="AZ30" i="13" s="1"/>
  <c r="AU30" i="13"/>
  <c r="Z29" i="13"/>
  <c r="AZ29" i="13" s="1"/>
  <c r="AU29" i="13"/>
  <c r="AC16" i="13"/>
  <c r="AC28" i="13"/>
  <c r="AC26" i="13"/>
  <c r="Y29" i="13"/>
  <c r="AQ29" i="13" s="1"/>
  <c r="Y27" i="13"/>
  <c r="AQ27" i="13" s="1"/>
  <c r="Z20" i="13"/>
  <c r="AZ20" i="13" s="1"/>
  <c r="AU20" i="13"/>
  <c r="Y25" i="13"/>
  <c r="AQ25" i="13" s="1"/>
  <c r="Y23" i="13"/>
  <c r="AQ23" i="13" s="1"/>
  <c r="Y14" i="13"/>
  <c r="AQ14" i="13" s="1"/>
  <c r="Z32" i="13"/>
  <c r="AZ32" i="13" s="1"/>
  <c r="AU32" i="13"/>
  <c r="Z31" i="13"/>
  <c r="AZ31" i="13" s="1"/>
  <c r="AU31" i="13"/>
  <c r="H26" i="7"/>
  <c r="G26" i="7"/>
  <c r="H19" i="7"/>
  <c r="G22" i="7"/>
  <c r="H22" i="7"/>
  <c r="H27" i="7"/>
  <c r="H24" i="7"/>
  <c r="G12" i="7"/>
  <c r="H12" i="7"/>
  <c r="G23" i="7"/>
  <c r="Z24" i="13"/>
  <c r="AZ24" i="13" s="1"/>
  <c r="AU24" i="13"/>
  <c r="G21" i="7"/>
  <c r="G17" i="7"/>
  <c r="Z18" i="13"/>
  <c r="AZ18" i="13" s="1"/>
  <c r="AU18" i="13"/>
  <c r="Z28" i="13"/>
  <c r="AZ28" i="13" s="1"/>
  <c r="AU28" i="13"/>
  <c r="Z15" i="13"/>
  <c r="AZ15" i="13" s="1"/>
  <c r="AU15" i="13"/>
  <c r="Z12" i="13"/>
  <c r="AZ12" i="13" s="1"/>
  <c r="AU12" i="13"/>
  <c r="Z22" i="13"/>
  <c r="AZ22" i="13" s="1"/>
  <c r="AU22" i="13"/>
  <c r="Z17" i="13"/>
  <c r="AZ17" i="13" s="1"/>
  <c r="AU17" i="13"/>
  <c r="Z16" i="13"/>
  <c r="AZ16" i="13" s="1"/>
  <c r="AU16" i="13"/>
  <c r="Z19" i="13"/>
  <c r="AZ19" i="13" s="1"/>
  <c r="AU19" i="13"/>
  <c r="AC29" i="13"/>
  <c r="AC27" i="13"/>
  <c r="AC14" i="13"/>
  <c r="Z25" i="13"/>
  <c r="AZ25" i="13" s="1"/>
  <c r="AU25" i="13"/>
  <c r="Z21" i="13"/>
  <c r="AZ21" i="13" s="1"/>
  <c r="AU21" i="13"/>
  <c r="Z9" i="13"/>
  <c r="AZ9" i="13" s="1"/>
  <c r="AU9" i="13"/>
  <c r="Z23" i="13"/>
  <c r="AZ23" i="13" s="1"/>
  <c r="AU23" i="13"/>
  <c r="Z11" i="13"/>
  <c r="AZ11" i="13" s="1"/>
  <c r="AU11" i="13"/>
  <c r="O33" i="7"/>
  <c r="P31" i="7"/>
  <c r="G29" i="7"/>
  <c r="P9" i="7"/>
  <c r="E14" i="13"/>
  <c r="F14" i="13"/>
  <c r="F11" i="13"/>
  <c r="E11" i="13"/>
  <c r="F17" i="13"/>
  <c r="E17" i="13"/>
  <c r="F12" i="13"/>
  <c r="E12" i="13"/>
  <c r="E22" i="13"/>
  <c r="F22" i="13"/>
  <c r="E19" i="13"/>
  <c r="F19" i="13"/>
  <c r="E10" i="13"/>
  <c r="F10" i="13"/>
  <c r="F29" i="13"/>
  <c r="E29" i="13"/>
  <c r="H9" i="7"/>
  <c r="H25" i="7"/>
  <c r="H20" i="7"/>
  <c r="H18" i="7"/>
  <c r="O14" i="7"/>
  <c r="O27" i="7"/>
  <c r="P18" i="7"/>
  <c r="O22" i="7"/>
  <c r="O9" i="7"/>
  <c r="P16" i="7"/>
  <c r="P15" i="7"/>
  <c r="P28" i="7"/>
  <c r="E13" i="13"/>
  <c r="F13" i="13"/>
  <c r="AC31" i="13"/>
  <c r="Y31" i="13"/>
  <c r="AQ31" i="13" s="1"/>
  <c r="AC15" i="13"/>
  <c r="Y15" i="13"/>
  <c r="AQ15" i="13" s="1"/>
  <c r="AC8" i="13"/>
  <c r="Y8" i="13"/>
  <c r="AQ8" i="13" s="1"/>
  <c r="AC21" i="13"/>
  <c r="Y21" i="13"/>
  <c r="AQ21" i="13" s="1"/>
  <c r="AC24" i="13"/>
  <c r="Y24" i="13"/>
  <c r="AQ24" i="13" s="1"/>
  <c r="E32" i="13"/>
  <c r="E9" i="13"/>
  <c r="F9" i="13"/>
  <c r="E20" i="13"/>
  <c r="E18" i="13"/>
  <c r="O18" i="7"/>
  <c r="F16" i="13"/>
  <c r="E16" i="13"/>
  <c r="F31" i="13"/>
  <c r="E31" i="13"/>
  <c r="F24" i="13"/>
  <c r="E24" i="13"/>
  <c r="F23" i="13"/>
  <c r="E23" i="13"/>
  <c r="F26" i="13"/>
  <c r="E26" i="13"/>
  <c r="E8" i="13"/>
  <c r="H23" i="7"/>
  <c r="E28" i="13"/>
  <c r="F28" i="13"/>
  <c r="AC11" i="13"/>
  <c r="Y11" i="13"/>
  <c r="AQ11" i="13" s="1"/>
  <c r="AC17" i="13"/>
  <c r="Y17" i="13"/>
  <c r="AQ17" i="13" s="1"/>
  <c r="AC12" i="13"/>
  <c r="Y12" i="13"/>
  <c r="AQ12" i="13" s="1"/>
  <c r="AC22" i="13"/>
  <c r="Y22" i="13"/>
  <c r="AQ22" i="13" s="1"/>
  <c r="AC19" i="13"/>
  <c r="Y19" i="13"/>
  <c r="AQ19" i="13" s="1"/>
  <c r="AC10" i="13"/>
  <c r="Y10" i="13"/>
  <c r="AQ10" i="13" s="1"/>
  <c r="O31" i="7"/>
  <c r="E25" i="13"/>
  <c r="E27" i="13"/>
  <c r="E21" i="13"/>
  <c r="G25" i="7"/>
  <c r="G13" i="7"/>
  <c r="O11" i="7"/>
  <c r="O15" i="7"/>
  <c r="H11" i="7"/>
  <c r="P13" i="7"/>
  <c r="P32" i="7"/>
  <c r="O19" i="7"/>
  <c r="G19" i="7"/>
  <c r="H10" i="7"/>
  <c r="H32" i="7"/>
  <c r="P29" i="7"/>
  <c r="P17" i="7"/>
  <c r="O25" i="7"/>
  <c r="O12" i="7"/>
  <c r="O32" i="7"/>
  <c r="P19" i="7"/>
  <c r="O29" i="7"/>
  <c r="P27" i="7"/>
  <c r="O30" i="7"/>
  <c r="P11" i="7"/>
  <c r="O23" i="7"/>
  <c r="P10" i="7"/>
  <c r="P22" i="7"/>
  <c r="P25" i="7"/>
  <c r="P12" i="7"/>
  <c r="O20" i="7"/>
  <c r="G11" i="7"/>
  <c r="G27" i="7"/>
  <c r="O10" i="7"/>
  <c r="P26" i="7"/>
  <c r="P30" i="7"/>
  <c r="P33" i="7"/>
  <c r="P20" i="7"/>
  <c r="O24" i="7"/>
  <c r="P23" i="7"/>
  <c r="O21" i="7"/>
  <c r="P14" i="7"/>
  <c r="O28" i="7"/>
  <c r="O13" i="7"/>
  <c r="H21" i="7"/>
  <c r="G20" i="7"/>
  <c r="G32" i="7"/>
  <c r="G18" i="7"/>
  <c r="O26" i="7"/>
  <c r="O16" i="7"/>
  <c r="P24" i="7"/>
  <c r="P21" i="7"/>
  <c r="D23" i="9"/>
  <c r="C23" i="9"/>
  <c r="H28" i="7" l="1"/>
  <c r="H30" i="7"/>
  <c r="H31" i="7"/>
  <c r="H14" i="7"/>
  <c r="G28" i="7"/>
  <c r="G31" i="7"/>
  <c r="G24" i="7"/>
  <c r="G10" i="7"/>
  <c r="G14" i="7"/>
  <c r="G30" i="7"/>
  <c r="G9" i="7"/>
  <c r="H17" i="7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47" i="8"/>
  <c r="F8" i="8" l="1"/>
  <c r="D8" i="8"/>
  <c r="E8" i="8"/>
  <c r="Q10" i="20" l="1"/>
  <c r="Q9" i="20"/>
  <c r="P11" i="20"/>
  <c r="O11" i="20"/>
  <c r="N11" i="20"/>
  <c r="R9" i="20" l="1"/>
  <c r="F11" i="20" s="1"/>
  <c r="H11" i="20" s="1"/>
  <c r="F10" i="20"/>
  <c r="H10" i="20" s="1"/>
  <c r="R10" i="20"/>
  <c r="C10" i="20"/>
  <c r="S9" i="20"/>
  <c r="F12" i="20" s="1"/>
  <c r="H12" i="20" s="1"/>
  <c r="Q11" i="20"/>
  <c r="S10" i="20" l="1"/>
  <c r="S11" i="20" s="1"/>
  <c r="C11" i="20"/>
  <c r="R11" i="20"/>
  <c r="I10" i="20"/>
  <c r="K10" i="20" s="1"/>
  <c r="E10" i="20"/>
  <c r="T9" i="20"/>
  <c r="G33" i="21"/>
  <c r="F33" i="21"/>
  <c r="E33" i="21"/>
  <c r="D33" i="21"/>
  <c r="C33" i="21"/>
  <c r="AA31" i="21"/>
  <c r="C31" i="21"/>
  <c r="AA30" i="21"/>
  <c r="Z30" i="21"/>
  <c r="Y30" i="21"/>
  <c r="X30" i="21"/>
  <c r="W30" i="21"/>
  <c r="V30" i="21"/>
  <c r="U30" i="21"/>
  <c r="M30" i="21"/>
  <c r="L30" i="21"/>
  <c r="K30" i="21"/>
  <c r="J30" i="21"/>
  <c r="I30" i="21"/>
  <c r="H30" i="21"/>
  <c r="G30" i="21"/>
  <c r="F30" i="21"/>
  <c r="E30" i="21"/>
  <c r="D30" i="21"/>
  <c r="C30" i="21"/>
  <c r="G28" i="21"/>
  <c r="F28" i="21"/>
  <c r="E28" i="21"/>
  <c r="D28" i="21"/>
  <c r="C28" i="21"/>
  <c r="C27" i="21"/>
  <c r="AA26" i="21"/>
  <c r="C26" i="21"/>
  <c r="AA25" i="21"/>
  <c r="Z25" i="21"/>
  <c r="Y25" i="21"/>
  <c r="X25" i="21"/>
  <c r="W25" i="21"/>
  <c r="V25" i="21"/>
  <c r="U25" i="21"/>
  <c r="M25" i="21"/>
  <c r="L25" i="21"/>
  <c r="K25" i="21"/>
  <c r="J25" i="21"/>
  <c r="I25" i="21"/>
  <c r="H25" i="21"/>
  <c r="G25" i="21"/>
  <c r="F25" i="21"/>
  <c r="E25" i="21"/>
  <c r="D25" i="21"/>
  <c r="C25" i="21"/>
  <c r="P9" i="21"/>
  <c r="Q9" i="21"/>
  <c r="R9" i="21"/>
  <c r="S9" i="21"/>
  <c r="T9" i="21"/>
  <c r="U9" i="21"/>
  <c r="V9" i="21"/>
  <c r="W9" i="21"/>
  <c r="X9" i="21"/>
  <c r="Y9" i="21"/>
  <c r="Z9" i="21"/>
  <c r="AA9" i="21"/>
  <c r="V10" i="21"/>
  <c r="W10" i="21"/>
  <c r="X10" i="21"/>
  <c r="Y10" i="21"/>
  <c r="Z10" i="21"/>
  <c r="AA10" i="21"/>
  <c r="W11" i="21"/>
  <c r="X11" i="21"/>
  <c r="Y11" i="21"/>
  <c r="Z11" i="21"/>
  <c r="AA11" i="21"/>
  <c r="Z12" i="21"/>
  <c r="AA12" i="21"/>
  <c r="C13" i="21"/>
  <c r="D13" i="21"/>
  <c r="E13" i="21"/>
  <c r="F13" i="21"/>
  <c r="G13" i="21"/>
  <c r="C14" i="21"/>
  <c r="D14" i="21"/>
  <c r="E14" i="21"/>
  <c r="F14" i="21"/>
  <c r="G14" i="21"/>
  <c r="H14" i="21"/>
  <c r="I14" i="21"/>
  <c r="C15" i="21"/>
  <c r="D15" i="21"/>
  <c r="E15" i="21"/>
  <c r="F15" i="21"/>
  <c r="G15" i="21"/>
  <c r="H15" i="21"/>
  <c r="I15" i="21"/>
  <c r="J15" i="21"/>
  <c r="K15" i="21"/>
  <c r="L15" i="21"/>
  <c r="M15" i="21"/>
  <c r="N15" i="21"/>
  <c r="O15" i="21"/>
  <c r="C16" i="21"/>
  <c r="D16" i="21"/>
  <c r="E16" i="21"/>
  <c r="F16" i="21"/>
  <c r="G16" i="21"/>
  <c r="H16" i="21"/>
  <c r="I16" i="21"/>
  <c r="J16" i="21"/>
  <c r="K16" i="21"/>
  <c r="L16" i="21"/>
  <c r="M16" i="21"/>
  <c r="N16" i="21"/>
  <c r="O16" i="21"/>
  <c r="P16" i="21"/>
  <c r="Q16" i="21"/>
  <c r="R16" i="21"/>
  <c r="C17" i="21"/>
  <c r="D17" i="21"/>
  <c r="E17" i="21"/>
  <c r="F17" i="21"/>
  <c r="G17" i="21"/>
  <c r="H17" i="21"/>
  <c r="I17" i="21"/>
  <c r="J17" i="21"/>
  <c r="K17" i="21"/>
  <c r="L17" i="21"/>
  <c r="M17" i="21"/>
  <c r="N17" i="21"/>
  <c r="O17" i="21"/>
  <c r="P17" i="21"/>
  <c r="Q17" i="21"/>
  <c r="R17" i="21"/>
  <c r="S17" i="21"/>
  <c r="T17" i="21"/>
  <c r="U17" i="21"/>
  <c r="C18" i="21"/>
  <c r="D18" i="21"/>
  <c r="E18" i="21"/>
  <c r="F18" i="21"/>
  <c r="G18" i="21"/>
  <c r="H18" i="21"/>
  <c r="I18" i="21"/>
  <c r="J18" i="21"/>
  <c r="K18" i="21"/>
  <c r="L18" i="21"/>
  <c r="M18" i="21"/>
  <c r="N18" i="21"/>
  <c r="O18" i="21"/>
  <c r="P18" i="21"/>
  <c r="Q18" i="21"/>
  <c r="R18" i="21"/>
  <c r="S18" i="21"/>
  <c r="T18" i="21"/>
  <c r="U18" i="21"/>
  <c r="V18" i="21"/>
  <c r="W18" i="21"/>
  <c r="X18" i="21"/>
  <c r="C19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Z19" i="21"/>
  <c r="AA19" i="21"/>
  <c r="O8" i="21"/>
  <c r="P8" i="21"/>
  <c r="Q8" i="21"/>
  <c r="R8" i="21"/>
  <c r="S8" i="21"/>
  <c r="T8" i="21"/>
  <c r="U8" i="21"/>
  <c r="V8" i="21"/>
  <c r="W8" i="21"/>
  <c r="X8" i="21"/>
  <c r="Y8" i="21"/>
  <c r="Z8" i="21"/>
  <c r="AA8" i="21"/>
  <c r="H345" i="33"/>
  <c r="H344" i="33"/>
  <c r="H343" i="33"/>
  <c r="H342" i="33"/>
  <c r="H341" i="33"/>
  <c r="F341" i="33"/>
  <c r="G340" i="33"/>
  <c r="F340" i="33"/>
  <c r="G339" i="33"/>
  <c r="F339" i="33"/>
  <c r="G338" i="33"/>
  <c r="F338" i="33"/>
  <c r="G337" i="33"/>
  <c r="F337" i="33"/>
  <c r="H334" i="33"/>
  <c r="G334" i="33"/>
  <c r="H333" i="33"/>
  <c r="G333" i="33"/>
  <c r="F333" i="33"/>
  <c r="H332" i="33"/>
  <c r="G332" i="33"/>
  <c r="F332" i="33"/>
  <c r="H331" i="33"/>
  <c r="G331" i="33"/>
  <c r="F331" i="33"/>
  <c r="H330" i="33"/>
  <c r="G330" i="33"/>
  <c r="F330" i="33"/>
  <c r="H329" i="33"/>
  <c r="G329" i="33"/>
  <c r="F329" i="33"/>
  <c r="H326" i="33"/>
  <c r="G326" i="33"/>
  <c r="H325" i="33"/>
  <c r="G325" i="33"/>
  <c r="F325" i="33"/>
  <c r="H324" i="33"/>
  <c r="G324" i="33"/>
  <c r="F324" i="33"/>
  <c r="H323" i="33"/>
  <c r="G323" i="33"/>
  <c r="F323" i="33"/>
  <c r="G322" i="33"/>
  <c r="C311" i="33"/>
  <c r="C310" i="33"/>
  <c r="C309" i="33"/>
  <c r="C308" i="33"/>
  <c r="D175" i="33"/>
  <c r="L275" i="33" s="1"/>
  <c r="AD170" i="33"/>
  <c r="AC170" i="33"/>
  <c r="AB170" i="33"/>
  <c r="AA170" i="33"/>
  <c r="Z170" i="33"/>
  <c r="Y170" i="33"/>
  <c r="X170" i="33"/>
  <c r="W170" i="33"/>
  <c r="V170" i="33"/>
  <c r="U170" i="33"/>
  <c r="T170" i="33"/>
  <c r="S170" i="33"/>
  <c r="R170" i="33"/>
  <c r="Q170" i="33"/>
  <c r="P170" i="33"/>
  <c r="O170" i="33"/>
  <c r="N170" i="33"/>
  <c r="M170" i="33"/>
  <c r="L170" i="33"/>
  <c r="K170" i="33"/>
  <c r="J170" i="33"/>
  <c r="I170" i="33"/>
  <c r="H170" i="33"/>
  <c r="G170" i="33"/>
  <c r="F170" i="33"/>
  <c r="E170" i="33"/>
  <c r="D170" i="33"/>
  <c r="B170" i="33"/>
  <c r="AA169" i="33"/>
  <c r="Z169" i="33"/>
  <c r="Y169" i="33"/>
  <c r="X169" i="33"/>
  <c r="W169" i="33"/>
  <c r="V169" i="33"/>
  <c r="U169" i="33"/>
  <c r="T169" i="33"/>
  <c r="S169" i="33"/>
  <c r="R169" i="33"/>
  <c r="Q169" i="33"/>
  <c r="P169" i="33"/>
  <c r="O169" i="33"/>
  <c r="N169" i="33"/>
  <c r="M169" i="33"/>
  <c r="L169" i="33"/>
  <c r="K169" i="33"/>
  <c r="J169" i="33"/>
  <c r="I169" i="33"/>
  <c r="H169" i="33"/>
  <c r="G169" i="33"/>
  <c r="F169" i="33"/>
  <c r="E169" i="33"/>
  <c r="D169" i="33"/>
  <c r="B169" i="33"/>
  <c r="X168" i="33"/>
  <c r="W168" i="33"/>
  <c r="V168" i="33"/>
  <c r="U168" i="33"/>
  <c r="T168" i="33"/>
  <c r="S168" i="33"/>
  <c r="R168" i="33"/>
  <c r="Q168" i="33"/>
  <c r="P168" i="33"/>
  <c r="O168" i="33"/>
  <c r="N168" i="33"/>
  <c r="M168" i="33"/>
  <c r="L168" i="33"/>
  <c r="K168" i="33"/>
  <c r="J168" i="33"/>
  <c r="I168" i="33"/>
  <c r="H168" i="33"/>
  <c r="G168" i="33"/>
  <c r="F168" i="33"/>
  <c r="E168" i="33"/>
  <c r="D168" i="33"/>
  <c r="B168" i="33"/>
  <c r="U167" i="33"/>
  <c r="T167" i="33"/>
  <c r="S167" i="33"/>
  <c r="R167" i="33"/>
  <c r="Q167" i="33"/>
  <c r="P167" i="33"/>
  <c r="O167" i="33"/>
  <c r="N167" i="33"/>
  <c r="M167" i="33"/>
  <c r="L167" i="33"/>
  <c r="K167" i="33"/>
  <c r="J167" i="33"/>
  <c r="I167" i="33"/>
  <c r="H167" i="33"/>
  <c r="G167" i="33"/>
  <c r="F167" i="33"/>
  <c r="E167" i="33"/>
  <c r="D167" i="33"/>
  <c r="B167" i="33"/>
  <c r="R166" i="33"/>
  <c r="Q166" i="33"/>
  <c r="P166" i="33"/>
  <c r="O166" i="33"/>
  <c r="N166" i="33"/>
  <c r="M166" i="33"/>
  <c r="L166" i="33"/>
  <c r="K166" i="33"/>
  <c r="J166" i="33"/>
  <c r="I166" i="33"/>
  <c r="H166" i="33"/>
  <c r="G166" i="33"/>
  <c r="F166" i="33"/>
  <c r="E166" i="33"/>
  <c r="D166" i="33"/>
  <c r="B166" i="33"/>
  <c r="K165" i="33"/>
  <c r="J165" i="33"/>
  <c r="I165" i="33"/>
  <c r="H165" i="33"/>
  <c r="G165" i="33"/>
  <c r="F165" i="33"/>
  <c r="E165" i="33"/>
  <c r="D165" i="33"/>
  <c r="B165" i="33"/>
  <c r="I164" i="33"/>
  <c r="H164" i="33"/>
  <c r="G164" i="33"/>
  <c r="F164" i="33"/>
  <c r="E164" i="33"/>
  <c r="D164" i="33"/>
  <c r="B164" i="33"/>
  <c r="D163" i="33"/>
  <c r="B163" i="33"/>
  <c r="D162" i="33"/>
  <c r="B162" i="33"/>
  <c r="D161" i="33"/>
  <c r="B161" i="33"/>
  <c r="D160" i="33"/>
  <c r="B160" i="33"/>
  <c r="D159" i="33"/>
  <c r="B159" i="33"/>
  <c r="AE156" i="33"/>
  <c r="B156" i="33"/>
  <c r="AB155" i="33"/>
  <c r="AB169" i="33" s="1"/>
  <c r="B155" i="33"/>
  <c r="Y154" i="33"/>
  <c r="Y168" i="33" s="1"/>
  <c r="B154" i="33"/>
  <c r="V153" i="33"/>
  <c r="B153" i="33"/>
  <c r="S152" i="33"/>
  <c r="S166" i="33" s="1"/>
  <c r="B152" i="33"/>
  <c r="L151" i="33"/>
  <c r="L165" i="33" s="1"/>
  <c r="B151" i="33"/>
  <c r="J164" i="33"/>
  <c r="B150" i="33"/>
  <c r="E149" i="33"/>
  <c r="E163" i="33" s="1"/>
  <c r="B149" i="33"/>
  <c r="E148" i="33"/>
  <c r="F148" i="33" s="1"/>
  <c r="G148" i="33" s="1"/>
  <c r="H148" i="33" s="1"/>
  <c r="I148" i="33" s="1"/>
  <c r="J148" i="33" s="1"/>
  <c r="K148" i="33" s="1"/>
  <c r="L148" i="33" s="1"/>
  <c r="M148" i="33" s="1"/>
  <c r="N148" i="33" s="1"/>
  <c r="O148" i="33" s="1"/>
  <c r="P148" i="33" s="1"/>
  <c r="Q148" i="33" s="1"/>
  <c r="R148" i="33" s="1"/>
  <c r="S148" i="33" s="1"/>
  <c r="T148" i="33" s="1"/>
  <c r="U148" i="33" s="1"/>
  <c r="V148" i="33" s="1"/>
  <c r="W148" i="33" s="1"/>
  <c r="X148" i="33" s="1"/>
  <c r="Y148" i="33" s="1"/>
  <c r="Z148" i="33" s="1"/>
  <c r="AA148" i="33" s="1"/>
  <c r="B148" i="33"/>
  <c r="E147" i="33"/>
  <c r="F147" i="33" s="1"/>
  <c r="G147" i="33" s="1"/>
  <c r="H147" i="33" s="1"/>
  <c r="I147" i="33" s="1"/>
  <c r="J147" i="33" s="1"/>
  <c r="K147" i="33" s="1"/>
  <c r="L147" i="33" s="1"/>
  <c r="M147" i="33" s="1"/>
  <c r="N147" i="33" s="1"/>
  <c r="O147" i="33" s="1"/>
  <c r="P147" i="33" s="1"/>
  <c r="Q147" i="33" s="1"/>
  <c r="R147" i="33" s="1"/>
  <c r="S147" i="33" s="1"/>
  <c r="T147" i="33" s="1"/>
  <c r="U147" i="33" s="1"/>
  <c r="V147" i="33" s="1"/>
  <c r="W147" i="33" s="1"/>
  <c r="X147" i="33" s="1"/>
  <c r="Y147" i="33" s="1"/>
  <c r="Z147" i="33" s="1"/>
  <c r="B147" i="33"/>
  <c r="E146" i="33"/>
  <c r="F146" i="33" s="1"/>
  <c r="G146" i="33" s="1"/>
  <c r="H146" i="33" s="1"/>
  <c r="I146" i="33" s="1"/>
  <c r="J146" i="33" s="1"/>
  <c r="K146" i="33" s="1"/>
  <c r="L146" i="33" s="1"/>
  <c r="M146" i="33" s="1"/>
  <c r="N146" i="33" s="1"/>
  <c r="O146" i="33" s="1"/>
  <c r="P146" i="33" s="1"/>
  <c r="Q146" i="33" s="1"/>
  <c r="R146" i="33" s="1"/>
  <c r="S146" i="33" s="1"/>
  <c r="T146" i="33" s="1"/>
  <c r="B146" i="33"/>
  <c r="E145" i="33"/>
  <c r="F145" i="33" s="1"/>
  <c r="G145" i="33" s="1"/>
  <c r="H145" i="33" s="1"/>
  <c r="I145" i="33" s="1"/>
  <c r="J145" i="33" s="1"/>
  <c r="K145" i="33" s="1"/>
  <c r="L145" i="33" s="1"/>
  <c r="M145" i="33" s="1"/>
  <c r="N145" i="33" s="1"/>
  <c r="O145" i="33" s="1"/>
  <c r="P145" i="33" s="1"/>
  <c r="Q145" i="33" s="1"/>
  <c r="R145" i="33" s="1"/>
  <c r="S145" i="33" s="1"/>
  <c r="B145" i="33"/>
  <c r="L140" i="33"/>
  <c r="K140" i="33"/>
  <c r="J140" i="33"/>
  <c r="I140" i="33"/>
  <c r="H140" i="33"/>
  <c r="G140" i="33"/>
  <c r="F140" i="33"/>
  <c r="E140" i="33"/>
  <c r="D140" i="33"/>
  <c r="K138" i="33"/>
  <c r="J138" i="33"/>
  <c r="I138" i="33"/>
  <c r="H138" i="33"/>
  <c r="G138" i="33"/>
  <c r="F138" i="33"/>
  <c r="E138" i="33"/>
  <c r="D138" i="33"/>
  <c r="D137" i="33"/>
  <c r="D136" i="33"/>
  <c r="D135" i="33"/>
  <c r="D134" i="33"/>
  <c r="D133" i="33"/>
  <c r="L131" i="33"/>
  <c r="K131" i="33"/>
  <c r="J131" i="33"/>
  <c r="I131" i="33"/>
  <c r="H131" i="33"/>
  <c r="G131" i="33"/>
  <c r="F131" i="33"/>
  <c r="E131" i="33"/>
  <c r="D131" i="33"/>
  <c r="K129" i="33"/>
  <c r="J129" i="33"/>
  <c r="I129" i="33"/>
  <c r="H129" i="33"/>
  <c r="G129" i="33"/>
  <c r="F129" i="33"/>
  <c r="E129" i="33"/>
  <c r="D129" i="33"/>
  <c r="D128" i="33"/>
  <c r="D127" i="33"/>
  <c r="D126" i="33"/>
  <c r="D125" i="33"/>
  <c r="M121" i="33"/>
  <c r="N121" i="33" s="1"/>
  <c r="O121" i="33" s="1"/>
  <c r="P121" i="33" s="1"/>
  <c r="Q121" i="33" s="1"/>
  <c r="R121" i="33" s="1"/>
  <c r="S121" i="33" s="1"/>
  <c r="T121" i="33" s="1"/>
  <c r="U121" i="33" s="1"/>
  <c r="V121" i="33" s="1"/>
  <c r="W121" i="33" s="1"/>
  <c r="X121" i="33" s="1"/>
  <c r="Y121" i="33" s="1"/>
  <c r="Z121" i="33" s="1"/>
  <c r="AA121" i="33" s="1"/>
  <c r="AB121" i="33" s="1"/>
  <c r="AC121" i="33" s="1"/>
  <c r="AD121" i="33" s="1"/>
  <c r="AE121" i="33" s="1"/>
  <c r="L119" i="33"/>
  <c r="M119" i="33" s="1"/>
  <c r="N119" i="33" s="1"/>
  <c r="O119" i="33" s="1"/>
  <c r="P119" i="33" s="1"/>
  <c r="Q119" i="33" s="1"/>
  <c r="R119" i="33" s="1"/>
  <c r="S119" i="33" s="1"/>
  <c r="T119" i="33" s="1"/>
  <c r="U119" i="33" s="1"/>
  <c r="V119" i="33" s="1"/>
  <c r="W119" i="33" s="1"/>
  <c r="X119" i="33" s="1"/>
  <c r="Y119" i="33" s="1"/>
  <c r="Z119" i="33" s="1"/>
  <c r="AA119" i="33" s="1"/>
  <c r="AB119" i="33" s="1"/>
  <c r="AC119" i="33" s="1"/>
  <c r="AD119" i="33" s="1"/>
  <c r="AE119" i="33" s="1"/>
  <c r="E118" i="33"/>
  <c r="F118" i="33" s="1"/>
  <c r="G118" i="33" s="1"/>
  <c r="H118" i="33" s="1"/>
  <c r="I118" i="33" s="1"/>
  <c r="J118" i="33" s="1"/>
  <c r="K118" i="33" s="1"/>
  <c r="L118" i="33" s="1"/>
  <c r="M118" i="33" s="1"/>
  <c r="N118" i="33" s="1"/>
  <c r="O118" i="33" s="1"/>
  <c r="P118" i="33" s="1"/>
  <c r="Q118" i="33" s="1"/>
  <c r="R118" i="33" s="1"/>
  <c r="S118" i="33" s="1"/>
  <c r="T118" i="33" s="1"/>
  <c r="U118" i="33" s="1"/>
  <c r="V118" i="33" s="1"/>
  <c r="W118" i="33" s="1"/>
  <c r="X118" i="33" s="1"/>
  <c r="Y118" i="33" s="1"/>
  <c r="Z118" i="33" s="1"/>
  <c r="E117" i="33"/>
  <c r="F117" i="33" s="1"/>
  <c r="G117" i="33" s="1"/>
  <c r="H117" i="33" s="1"/>
  <c r="I117" i="33" s="1"/>
  <c r="J117" i="33" s="1"/>
  <c r="K117" i="33" s="1"/>
  <c r="L117" i="33" s="1"/>
  <c r="M117" i="33" s="1"/>
  <c r="N117" i="33" s="1"/>
  <c r="O117" i="33" s="1"/>
  <c r="P117" i="33" s="1"/>
  <c r="Q117" i="33" s="1"/>
  <c r="R117" i="33" s="1"/>
  <c r="S117" i="33" s="1"/>
  <c r="T117" i="33" s="1"/>
  <c r="E116" i="33"/>
  <c r="F116" i="33" s="1"/>
  <c r="G116" i="33" s="1"/>
  <c r="H116" i="33" s="1"/>
  <c r="I116" i="33" s="1"/>
  <c r="J116" i="33" s="1"/>
  <c r="K116" i="33" s="1"/>
  <c r="L116" i="33" s="1"/>
  <c r="M116" i="33" s="1"/>
  <c r="N116" i="33" s="1"/>
  <c r="O116" i="33" s="1"/>
  <c r="P116" i="33" s="1"/>
  <c r="Q116" i="33" s="1"/>
  <c r="R116" i="33" s="1"/>
  <c r="S116" i="33" s="1"/>
  <c r="T116" i="33" s="1"/>
  <c r="E115" i="33"/>
  <c r="F115" i="33" s="1"/>
  <c r="G115" i="33" s="1"/>
  <c r="H115" i="33" s="1"/>
  <c r="I115" i="33" s="1"/>
  <c r="J115" i="33" s="1"/>
  <c r="K115" i="33" s="1"/>
  <c r="L115" i="33" s="1"/>
  <c r="M115" i="33" s="1"/>
  <c r="N115" i="33" s="1"/>
  <c r="O115" i="33" s="1"/>
  <c r="P115" i="33" s="1"/>
  <c r="Q115" i="33" s="1"/>
  <c r="R115" i="33" s="1"/>
  <c r="S115" i="33" s="1"/>
  <c r="T115" i="33" s="1"/>
  <c r="E114" i="33"/>
  <c r="F114" i="33" s="1"/>
  <c r="G114" i="33" s="1"/>
  <c r="H114" i="33" s="1"/>
  <c r="I114" i="33" s="1"/>
  <c r="J114" i="33" s="1"/>
  <c r="K114" i="33" s="1"/>
  <c r="L114" i="33" s="1"/>
  <c r="M112" i="33"/>
  <c r="N112" i="33" s="1"/>
  <c r="O112" i="33" s="1"/>
  <c r="P112" i="33" s="1"/>
  <c r="Q112" i="33" s="1"/>
  <c r="R112" i="33" s="1"/>
  <c r="S112" i="33" s="1"/>
  <c r="T112" i="33" s="1"/>
  <c r="U112" i="33" s="1"/>
  <c r="V112" i="33" s="1"/>
  <c r="W112" i="33" s="1"/>
  <c r="X112" i="33" s="1"/>
  <c r="Y112" i="33" s="1"/>
  <c r="Z112" i="33" s="1"/>
  <c r="AA112" i="33" s="1"/>
  <c r="AB112" i="33" s="1"/>
  <c r="AC112" i="33" s="1"/>
  <c r="AD112" i="33" s="1"/>
  <c r="AE112" i="33" s="1"/>
  <c r="L110" i="33"/>
  <c r="M110" i="33" s="1"/>
  <c r="N110" i="33" s="1"/>
  <c r="O110" i="33" s="1"/>
  <c r="P110" i="33" s="1"/>
  <c r="Q110" i="33" s="1"/>
  <c r="R110" i="33" s="1"/>
  <c r="S110" i="33" s="1"/>
  <c r="T110" i="33" s="1"/>
  <c r="U110" i="33" s="1"/>
  <c r="V110" i="33" s="1"/>
  <c r="W110" i="33" s="1"/>
  <c r="X110" i="33" s="1"/>
  <c r="Y110" i="33" s="1"/>
  <c r="Z110" i="33" s="1"/>
  <c r="AA110" i="33" s="1"/>
  <c r="AB110" i="33" s="1"/>
  <c r="AC110" i="33" s="1"/>
  <c r="AD110" i="33" s="1"/>
  <c r="AE110" i="33" s="1"/>
  <c r="E109" i="33"/>
  <c r="F109" i="33" s="1"/>
  <c r="G109" i="33" s="1"/>
  <c r="H109" i="33" s="1"/>
  <c r="I109" i="33" s="1"/>
  <c r="J109" i="33" s="1"/>
  <c r="K109" i="33" s="1"/>
  <c r="L109" i="33" s="1"/>
  <c r="M109" i="33" s="1"/>
  <c r="N109" i="33" s="1"/>
  <c r="O109" i="33" s="1"/>
  <c r="P109" i="33" s="1"/>
  <c r="Q109" i="33" s="1"/>
  <c r="R109" i="33" s="1"/>
  <c r="S109" i="33" s="1"/>
  <c r="T109" i="33" s="1"/>
  <c r="U109" i="33" s="1"/>
  <c r="V109" i="33" s="1"/>
  <c r="W109" i="33" s="1"/>
  <c r="X109" i="33" s="1"/>
  <c r="Y109" i="33" s="1"/>
  <c r="Z109" i="33" s="1"/>
  <c r="AA109" i="33" s="1"/>
  <c r="AB109" i="33" s="1"/>
  <c r="E108" i="33"/>
  <c r="E107" i="33"/>
  <c r="F107" i="33" s="1"/>
  <c r="G107" i="33" s="1"/>
  <c r="H107" i="33" s="1"/>
  <c r="I107" i="33" s="1"/>
  <c r="J107" i="33" s="1"/>
  <c r="K107" i="33" s="1"/>
  <c r="L107" i="33" s="1"/>
  <c r="M107" i="33" s="1"/>
  <c r="N107" i="33" s="1"/>
  <c r="O107" i="33" s="1"/>
  <c r="P107" i="33" s="1"/>
  <c r="Q107" i="33" s="1"/>
  <c r="E106" i="33"/>
  <c r="F106" i="33" s="1"/>
  <c r="G106" i="33" s="1"/>
  <c r="H106" i="33" s="1"/>
  <c r="K100" i="33"/>
  <c r="J100" i="33"/>
  <c r="I100" i="33"/>
  <c r="H100" i="33"/>
  <c r="G100" i="33"/>
  <c r="F100" i="33"/>
  <c r="E100" i="33"/>
  <c r="D100" i="33"/>
  <c r="E99" i="33"/>
  <c r="D99" i="33"/>
  <c r="D98" i="33"/>
  <c r="D97" i="33"/>
  <c r="K95" i="33"/>
  <c r="J95" i="33"/>
  <c r="I95" i="33"/>
  <c r="H95" i="33"/>
  <c r="G95" i="33"/>
  <c r="F95" i="33"/>
  <c r="E95" i="33"/>
  <c r="D95" i="33"/>
  <c r="E94" i="33"/>
  <c r="D94" i="33"/>
  <c r="D93" i="33"/>
  <c r="D92" i="33"/>
  <c r="L88" i="33"/>
  <c r="M88" i="33" s="1"/>
  <c r="N88" i="33" s="1"/>
  <c r="O88" i="33" s="1"/>
  <c r="P88" i="33" s="1"/>
  <c r="Q88" i="33" s="1"/>
  <c r="R88" i="33" s="1"/>
  <c r="S88" i="33" s="1"/>
  <c r="T88" i="33" s="1"/>
  <c r="U88" i="33" s="1"/>
  <c r="V88" i="33" s="1"/>
  <c r="W88" i="33" s="1"/>
  <c r="X88" i="33" s="1"/>
  <c r="Y88" i="33" s="1"/>
  <c r="Z88" i="33" s="1"/>
  <c r="AA88" i="33" s="1"/>
  <c r="AB88" i="33" s="1"/>
  <c r="AC88" i="33" s="1"/>
  <c r="AD88" i="33" s="1"/>
  <c r="AE88" i="33" s="1"/>
  <c r="F87" i="33"/>
  <c r="F99" i="33" s="1"/>
  <c r="E86" i="33"/>
  <c r="E98" i="33" s="1"/>
  <c r="E85" i="33"/>
  <c r="E97" i="33" s="1"/>
  <c r="L83" i="33"/>
  <c r="M83" i="33" s="1"/>
  <c r="N83" i="33" s="1"/>
  <c r="O83" i="33" s="1"/>
  <c r="P83" i="33" s="1"/>
  <c r="Q83" i="33" s="1"/>
  <c r="R83" i="33" s="1"/>
  <c r="S83" i="33" s="1"/>
  <c r="T83" i="33" s="1"/>
  <c r="U83" i="33" s="1"/>
  <c r="V83" i="33" s="1"/>
  <c r="W83" i="33" s="1"/>
  <c r="X83" i="33" s="1"/>
  <c r="Y83" i="33" s="1"/>
  <c r="Z83" i="33" s="1"/>
  <c r="AA83" i="33" s="1"/>
  <c r="AB83" i="33" s="1"/>
  <c r="AC83" i="33" s="1"/>
  <c r="AD83" i="33" s="1"/>
  <c r="AE83" i="33" s="1"/>
  <c r="F82" i="33"/>
  <c r="F94" i="33" s="1"/>
  <c r="E81" i="33"/>
  <c r="E93" i="33" s="1"/>
  <c r="E80" i="33"/>
  <c r="E92" i="33" s="1"/>
  <c r="Z76" i="33"/>
  <c r="Y76" i="33"/>
  <c r="X76" i="33"/>
  <c r="W76" i="33"/>
  <c r="V76" i="33"/>
  <c r="U76" i="33"/>
  <c r="T76" i="33"/>
  <c r="S76" i="33"/>
  <c r="R76" i="33"/>
  <c r="Q76" i="33"/>
  <c r="P76" i="33"/>
  <c r="O76" i="33"/>
  <c r="N76" i="33"/>
  <c r="M76" i="33"/>
  <c r="L76" i="33"/>
  <c r="K76" i="33"/>
  <c r="J76" i="33"/>
  <c r="I76" i="33"/>
  <c r="H76" i="33"/>
  <c r="G76" i="33"/>
  <c r="F76" i="33"/>
  <c r="E76" i="33"/>
  <c r="D76" i="33"/>
  <c r="D72" i="33"/>
  <c r="D179" i="33" s="1"/>
  <c r="C314" i="33" s="1"/>
  <c r="AC70" i="33"/>
  <c r="Z69" i="33"/>
  <c r="W68" i="33"/>
  <c r="S16" i="21" s="1"/>
  <c r="T67" i="33"/>
  <c r="P15" i="21" s="1"/>
  <c r="N66" i="33"/>
  <c r="O66" i="33" s="1"/>
  <c r="K14" i="21" s="1"/>
  <c r="L65" i="33"/>
  <c r="H13" i="21" s="1"/>
  <c r="F64" i="33"/>
  <c r="G64" i="33" s="1"/>
  <c r="E63" i="33"/>
  <c r="E62" i="33"/>
  <c r="E61" i="33"/>
  <c r="E60" i="33"/>
  <c r="F60" i="33" s="1"/>
  <c r="Z59" i="33"/>
  <c r="Y59" i="33"/>
  <c r="X59" i="33"/>
  <c r="W59" i="33"/>
  <c r="V59" i="33"/>
  <c r="U59" i="33"/>
  <c r="T59" i="33"/>
  <c r="S59" i="33"/>
  <c r="R59" i="33"/>
  <c r="Q59" i="33"/>
  <c r="P59" i="33"/>
  <c r="O59" i="33"/>
  <c r="N59" i="33"/>
  <c r="M59" i="33"/>
  <c r="L59" i="33"/>
  <c r="K59" i="33"/>
  <c r="J59" i="33"/>
  <c r="I59" i="33"/>
  <c r="H59" i="33"/>
  <c r="G59" i="33"/>
  <c r="F59" i="33"/>
  <c r="E59" i="33"/>
  <c r="D59" i="33"/>
  <c r="B59" i="33"/>
  <c r="M55" i="33"/>
  <c r="N55" i="33" s="1"/>
  <c r="L53" i="33"/>
  <c r="E52" i="33"/>
  <c r="E137" i="33" s="1"/>
  <c r="E51" i="33"/>
  <c r="F51" i="33" s="1"/>
  <c r="E50" i="33"/>
  <c r="E49" i="33"/>
  <c r="F49" i="33" s="1"/>
  <c r="G49" i="33" s="1"/>
  <c r="H49" i="33" s="1"/>
  <c r="E48" i="33"/>
  <c r="E133" i="33" s="1"/>
  <c r="D47" i="33"/>
  <c r="M46" i="33"/>
  <c r="N46" i="33" s="1"/>
  <c r="L44" i="33"/>
  <c r="E43" i="33"/>
  <c r="E42" i="33"/>
  <c r="F42" i="33" s="1"/>
  <c r="E41" i="33"/>
  <c r="F41" i="33" s="1"/>
  <c r="E40" i="33"/>
  <c r="D39" i="33"/>
  <c r="Z38" i="33"/>
  <c r="Y38" i="33"/>
  <c r="X38" i="33"/>
  <c r="W38" i="33"/>
  <c r="V38" i="33"/>
  <c r="U38" i="33"/>
  <c r="T38" i="33"/>
  <c r="S38" i="33"/>
  <c r="R38" i="33"/>
  <c r="Q38" i="33"/>
  <c r="P38" i="33"/>
  <c r="O38" i="33"/>
  <c r="N38" i="33"/>
  <c r="M38" i="33"/>
  <c r="L38" i="33"/>
  <c r="K38" i="33"/>
  <c r="J38" i="33"/>
  <c r="I38" i="33"/>
  <c r="H38" i="33"/>
  <c r="G38" i="33"/>
  <c r="F38" i="33"/>
  <c r="E38" i="33"/>
  <c r="D38" i="33"/>
  <c r="B38" i="33"/>
  <c r="F35" i="33"/>
  <c r="F177" i="33" s="1"/>
  <c r="E35" i="33"/>
  <c r="E177" i="33" s="1"/>
  <c r="D35" i="33"/>
  <c r="D177" i="33" s="1"/>
  <c r="D34" i="33"/>
  <c r="H33" i="33"/>
  <c r="G33" i="33"/>
  <c r="F30" i="33"/>
  <c r="E30" i="33"/>
  <c r="D30" i="33"/>
  <c r="E27" i="33"/>
  <c r="F26" i="33"/>
  <c r="E26" i="33"/>
  <c r="D26" i="33"/>
  <c r="AD25" i="33"/>
  <c r="AC25" i="33"/>
  <c r="AB25" i="33"/>
  <c r="AA25" i="33"/>
  <c r="Z25" i="33"/>
  <c r="Y25" i="33"/>
  <c r="P25" i="33"/>
  <c r="O25" i="33"/>
  <c r="N25" i="33"/>
  <c r="M25" i="33"/>
  <c r="L25" i="33"/>
  <c r="K25" i="33"/>
  <c r="J25" i="33"/>
  <c r="I25" i="33"/>
  <c r="H25" i="33"/>
  <c r="G25" i="33"/>
  <c r="F25" i="33"/>
  <c r="E25" i="33"/>
  <c r="D25" i="33"/>
  <c r="G23" i="33"/>
  <c r="H22" i="33"/>
  <c r="D31" i="21" s="1"/>
  <c r="R21" i="33"/>
  <c r="S21" i="33" s="1"/>
  <c r="G18" i="33"/>
  <c r="F18" i="33"/>
  <c r="E18" i="33"/>
  <c r="D18" i="33"/>
  <c r="F15" i="33"/>
  <c r="E15" i="33"/>
  <c r="F14" i="33"/>
  <c r="E14" i="33"/>
  <c r="D14" i="33"/>
  <c r="AD13" i="33"/>
  <c r="AC13" i="33"/>
  <c r="AB13" i="33"/>
  <c r="AA13" i="33"/>
  <c r="Z13" i="33"/>
  <c r="Y13" i="33"/>
  <c r="P13" i="33"/>
  <c r="O13" i="33"/>
  <c r="N13" i="33"/>
  <c r="M13" i="33"/>
  <c r="L13" i="33"/>
  <c r="K13" i="33"/>
  <c r="J13" i="33"/>
  <c r="I13" i="33"/>
  <c r="H13" i="33"/>
  <c r="G13" i="33"/>
  <c r="F13" i="33"/>
  <c r="E13" i="33"/>
  <c r="D13" i="33"/>
  <c r="H11" i="33"/>
  <c r="H10" i="33"/>
  <c r="R9" i="33"/>
  <c r="J6" i="33"/>
  <c r="K6" i="33" s="1"/>
  <c r="L6" i="33" s="1"/>
  <c r="M6" i="33" s="1"/>
  <c r="N6" i="33" s="1"/>
  <c r="O6" i="33" s="1"/>
  <c r="P6" i="33" s="1"/>
  <c r="Q6" i="33" s="1"/>
  <c r="R6" i="33" s="1"/>
  <c r="S6" i="33" s="1"/>
  <c r="T6" i="33" s="1"/>
  <c r="U6" i="33" s="1"/>
  <c r="V6" i="33" s="1"/>
  <c r="W6" i="33" s="1"/>
  <c r="X6" i="33" s="1"/>
  <c r="Y6" i="33" s="1"/>
  <c r="Z6" i="33" s="1"/>
  <c r="AA6" i="33" s="1"/>
  <c r="AB6" i="33" s="1"/>
  <c r="AC6" i="33" s="1"/>
  <c r="AD6" i="33" s="1"/>
  <c r="AE6" i="33" s="1"/>
  <c r="J5" i="33"/>
  <c r="D17" i="33" l="1"/>
  <c r="C32" i="21"/>
  <c r="F310" i="33"/>
  <c r="E125" i="33"/>
  <c r="Q13" i="33"/>
  <c r="Q308" i="33"/>
  <c r="L129" i="33"/>
  <c r="D27" i="21"/>
  <c r="D26" i="21"/>
  <c r="G309" i="33"/>
  <c r="E11" i="20"/>
  <c r="I11" i="20"/>
  <c r="K11" i="20" s="1"/>
  <c r="F13" i="20"/>
  <c r="T10" i="20"/>
  <c r="C13" i="20" s="1"/>
  <c r="C12" i="20"/>
  <c r="I10" i="33"/>
  <c r="Q25" i="33"/>
  <c r="E161" i="33"/>
  <c r="E33" i="33"/>
  <c r="D56" i="33"/>
  <c r="D178" i="33" s="1"/>
  <c r="C315" i="33" s="1"/>
  <c r="T21" i="33"/>
  <c r="R25" i="33"/>
  <c r="O30" i="21"/>
  <c r="N30" i="21"/>
  <c r="M44" i="33"/>
  <c r="M129" i="33" s="1"/>
  <c r="N25" i="21"/>
  <c r="D171" i="33"/>
  <c r="D191" i="33" s="1"/>
  <c r="D185" i="33" s="1"/>
  <c r="E175" i="33"/>
  <c r="F175" i="33" s="1"/>
  <c r="AE170" i="33"/>
  <c r="F348" i="33"/>
  <c r="Z154" i="33"/>
  <c r="AA154" i="33" s="1"/>
  <c r="AB154" i="33" s="1"/>
  <c r="AC154" i="33" s="1"/>
  <c r="AD154" i="33" s="1"/>
  <c r="AE154" i="33" s="1"/>
  <c r="F346" i="33" s="1"/>
  <c r="E162" i="33"/>
  <c r="AC155" i="33"/>
  <c r="AD155" i="33" s="1"/>
  <c r="AE155" i="33" s="1"/>
  <c r="F347" i="33" s="1"/>
  <c r="E160" i="33"/>
  <c r="M151" i="33"/>
  <c r="M165" i="33" s="1"/>
  <c r="AA69" i="33"/>
  <c r="W17" i="21" s="1"/>
  <c r="L138" i="33"/>
  <c r="M65" i="33"/>
  <c r="I13" i="21" s="1"/>
  <c r="J14" i="21"/>
  <c r="F159" i="33"/>
  <c r="G60" i="33"/>
  <c r="C8" i="21" s="1"/>
  <c r="C12" i="21"/>
  <c r="H64" i="33"/>
  <c r="D12" i="21" s="1"/>
  <c r="P66" i="33"/>
  <c r="L14" i="21" s="1"/>
  <c r="F126" i="33"/>
  <c r="D29" i="33"/>
  <c r="F62" i="33"/>
  <c r="F161" i="33" s="1"/>
  <c r="AD70" i="33"/>
  <c r="Z18" i="21" s="1"/>
  <c r="Y18" i="21"/>
  <c r="V17" i="21"/>
  <c r="M53" i="33"/>
  <c r="N53" i="33" s="1"/>
  <c r="F48" i="33"/>
  <c r="G48" i="33" s="1"/>
  <c r="G133" i="33" s="1"/>
  <c r="F32" i="33"/>
  <c r="E47" i="33"/>
  <c r="F52" i="33"/>
  <c r="G52" i="33" s="1"/>
  <c r="G137" i="33" s="1"/>
  <c r="E29" i="33"/>
  <c r="E32" i="33"/>
  <c r="H18" i="33"/>
  <c r="E135" i="33"/>
  <c r="M140" i="33"/>
  <c r="F80" i="33"/>
  <c r="F92" i="33" s="1"/>
  <c r="M131" i="33"/>
  <c r="E136" i="33"/>
  <c r="N140" i="33"/>
  <c r="E126" i="33"/>
  <c r="E128" i="33"/>
  <c r="D101" i="33"/>
  <c r="D189" i="33" s="1"/>
  <c r="D183" i="33" s="1"/>
  <c r="F134" i="33"/>
  <c r="N131" i="33"/>
  <c r="G134" i="33"/>
  <c r="F136" i="33"/>
  <c r="H134" i="33"/>
  <c r="G87" i="33"/>
  <c r="H87" i="33" s="1"/>
  <c r="I87" i="33" s="1"/>
  <c r="J87" i="33" s="1"/>
  <c r="K87" i="33" s="1"/>
  <c r="F108" i="33"/>
  <c r="G108" i="33" s="1"/>
  <c r="H108" i="33" s="1"/>
  <c r="I108" i="33" s="1"/>
  <c r="J108" i="33" s="1"/>
  <c r="K108" i="33" s="1"/>
  <c r="L108" i="33" s="1"/>
  <c r="M108" i="33" s="1"/>
  <c r="N108" i="33" s="1"/>
  <c r="O108" i="33" s="1"/>
  <c r="P108" i="33" s="1"/>
  <c r="Q108" i="33" s="1"/>
  <c r="R108" i="33" s="1"/>
  <c r="S108" i="33" s="1"/>
  <c r="T108" i="33" s="1"/>
  <c r="U108" i="33" s="1"/>
  <c r="V108" i="33" s="1"/>
  <c r="W108" i="33" s="1"/>
  <c r="X108" i="33" s="1"/>
  <c r="Y108" i="33" s="1"/>
  <c r="Z108" i="33" s="1"/>
  <c r="Z127" i="33" s="1"/>
  <c r="E127" i="33"/>
  <c r="E134" i="33"/>
  <c r="G82" i="33"/>
  <c r="G94" i="33" s="1"/>
  <c r="F85" i="33"/>
  <c r="F97" i="33" s="1"/>
  <c r="D141" i="33"/>
  <c r="D190" i="33" s="1"/>
  <c r="S9" i="33"/>
  <c r="G30" i="33"/>
  <c r="F27" i="33"/>
  <c r="F29" i="33" s="1"/>
  <c r="G35" i="33"/>
  <c r="G177" i="33" s="1"/>
  <c r="K5" i="33"/>
  <c r="I11" i="33"/>
  <c r="G14" i="33"/>
  <c r="E17" i="33"/>
  <c r="G26" i="33"/>
  <c r="G29" i="33" s="1"/>
  <c r="I22" i="33"/>
  <c r="E31" i="21" s="1"/>
  <c r="H23" i="33"/>
  <c r="D32" i="21" s="1"/>
  <c r="F17" i="33"/>
  <c r="H125" i="33"/>
  <c r="I106" i="33"/>
  <c r="AB128" i="33"/>
  <c r="AC109" i="33"/>
  <c r="E39" i="33"/>
  <c r="F40" i="33"/>
  <c r="G41" i="33"/>
  <c r="G42" i="33"/>
  <c r="F43" i="33"/>
  <c r="O46" i="33"/>
  <c r="I49" i="33"/>
  <c r="F50" i="33"/>
  <c r="G51" i="33"/>
  <c r="O55" i="33"/>
  <c r="F61" i="33"/>
  <c r="F63" i="33"/>
  <c r="X68" i="33"/>
  <c r="T16" i="21" s="1"/>
  <c r="E101" i="33"/>
  <c r="E189" i="33" s="1"/>
  <c r="Q126" i="33"/>
  <c r="R107" i="33"/>
  <c r="L133" i="33"/>
  <c r="M114" i="33"/>
  <c r="T135" i="33"/>
  <c r="U116" i="33"/>
  <c r="E159" i="33"/>
  <c r="E72" i="33"/>
  <c r="E179" i="33" s="1"/>
  <c r="D314" i="33" s="1"/>
  <c r="U67" i="33"/>
  <c r="T134" i="33"/>
  <c r="U115" i="33"/>
  <c r="F81" i="33"/>
  <c r="F86" i="33"/>
  <c r="S159" i="33"/>
  <c r="T145" i="33"/>
  <c r="Z161" i="33"/>
  <c r="AA147" i="33"/>
  <c r="AA118" i="33"/>
  <c r="Z137" i="33"/>
  <c r="T136" i="33"/>
  <c r="U117" i="33"/>
  <c r="T160" i="33"/>
  <c r="U146" i="33"/>
  <c r="AA162" i="33"/>
  <c r="AB148" i="33"/>
  <c r="F149" i="33"/>
  <c r="G149" i="33" s="1"/>
  <c r="H149" i="33" s="1"/>
  <c r="I149" i="33" s="1"/>
  <c r="J149" i="33" s="1"/>
  <c r="K149" i="33" s="1"/>
  <c r="L149" i="33" s="1"/>
  <c r="M149" i="33" s="1"/>
  <c r="N149" i="33" s="1"/>
  <c r="O149" i="33" s="1"/>
  <c r="P149" i="33" s="1"/>
  <c r="Q149" i="33" s="1"/>
  <c r="R149" i="33" s="1"/>
  <c r="S149" i="33" s="1"/>
  <c r="T149" i="33" s="1"/>
  <c r="U149" i="33" s="1"/>
  <c r="V149" i="33" s="1"/>
  <c r="W149" i="33" s="1"/>
  <c r="X149" i="33" s="1"/>
  <c r="Y149" i="33" s="1"/>
  <c r="Z149" i="33" s="1"/>
  <c r="AA149" i="33" s="1"/>
  <c r="AB149" i="33" s="1"/>
  <c r="AC149" i="33" s="1"/>
  <c r="AD149" i="33" s="1"/>
  <c r="K150" i="33"/>
  <c r="T152" i="33"/>
  <c r="U152" i="33" s="1"/>
  <c r="V167" i="33"/>
  <c r="W153" i="33"/>
  <c r="X153" i="33" s="1"/>
  <c r="Y153" i="33" s="1"/>
  <c r="Z153" i="33" s="1"/>
  <c r="D180" i="33" l="1"/>
  <c r="O25" i="21"/>
  <c r="R308" i="33"/>
  <c r="G310" i="33"/>
  <c r="E34" i="33"/>
  <c r="E27" i="21"/>
  <c r="J10" i="33"/>
  <c r="K10" i="33" s="1"/>
  <c r="L10" i="33" s="1"/>
  <c r="H309" i="33"/>
  <c r="H14" i="33"/>
  <c r="H17" i="33" s="1"/>
  <c r="E26" i="21"/>
  <c r="T11" i="20"/>
  <c r="I12" i="20"/>
  <c r="K12" i="20" s="1"/>
  <c r="E12" i="20"/>
  <c r="C14" i="20"/>
  <c r="I13" i="20"/>
  <c r="K13" i="20" s="1"/>
  <c r="E13" i="20"/>
  <c r="F14" i="20"/>
  <c r="H13" i="20"/>
  <c r="H48" i="33"/>
  <c r="I48" i="33" s="1"/>
  <c r="N44" i="33"/>
  <c r="N129" i="33" s="1"/>
  <c r="L87" i="33"/>
  <c r="M87" i="33" s="1"/>
  <c r="N87" i="33" s="1"/>
  <c r="O87" i="33" s="1"/>
  <c r="P87" i="33" s="1"/>
  <c r="Q87" i="33" s="1"/>
  <c r="R87" i="33" s="1"/>
  <c r="S87" i="33" s="1"/>
  <c r="T87" i="33" s="1"/>
  <c r="U87" i="33" s="1"/>
  <c r="V87" i="33" s="1"/>
  <c r="W87" i="33" s="1"/>
  <c r="X87" i="33" s="1"/>
  <c r="Y87" i="33" s="1"/>
  <c r="Z87" i="33" s="1"/>
  <c r="AA87" i="33" s="1"/>
  <c r="AB87" i="33" s="1"/>
  <c r="AC87" i="33" s="1"/>
  <c r="AD87" i="33" s="1"/>
  <c r="AE87" i="33" s="1"/>
  <c r="E352" i="33"/>
  <c r="M275" i="33"/>
  <c r="I18" i="33"/>
  <c r="AB197" i="33"/>
  <c r="AA195" i="33"/>
  <c r="AE195" i="33"/>
  <c r="AC197" i="33"/>
  <c r="AB195" i="33"/>
  <c r="AA197" i="33"/>
  <c r="AD195" i="33"/>
  <c r="AD197" i="33"/>
  <c r="AC195" i="33"/>
  <c r="AE197" i="33"/>
  <c r="U21" i="33"/>
  <c r="P30" i="21"/>
  <c r="S25" i="33"/>
  <c r="F163" i="33"/>
  <c r="AA153" i="33"/>
  <c r="AB153" i="33" s="1"/>
  <c r="AC153" i="33" s="1"/>
  <c r="AD153" i="33" s="1"/>
  <c r="AE153" i="33" s="1"/>
  <c r="F345" i="33"/>
  <c r="V152" i="33"/>
  <c r="W152" i="33" s="1"/>
  <c r="X152" i="33" s="1"/>
  <c r="Y152" i="33" s="1"/>
  <c r="Z152" i="33" s="1"/>
  <c r="AA152" i="33" s="1"/>
  <c r="AB152" i="33" s="1"/>
  <c r="AC152" i="33" s="1"/>
  <c r="AD152" i="33" s="1"/>
  <c r="AE152" i="33" s="1"/>
  <c r="F344" i="33"/>
  <c r="N151" i="33"/>
  <c r="O151" i="33" s="1"/>
  <c r="P151" i="33" s="1"/>
  <c r="Q151" i="33" s="1"/>
  <c r="R151" i="33" s="1"/>
  <c r="S151" i="33" s="1"/>
  <c r="T151" i="33" s="1"/>
  <c r="U151" i="33" s="1"/>
  <c r="V151" i="33" s="1"/>
  <c r="W151" i="33" s="1"/>
  <c r="X151" i="33" s="1"/>
  <c r="Y151" i="33" s="1"/>
  <c r="Z151" i="33" s="1"/>
  <c r="AA151" i="33" s="1"/>
  <c r="AB151" i="33" s="1"/>
  <c r="AC151" i="33" s="1"/>
  <c r="AD151" i="33" s="1"/>
  <c r="AE151" i="33" s="1"/>
  <c r="AD169" i="33"/>
  <c r="Q15" i="21"/>
  <c r="G344" i="33"/>
  <c r="AA168" i="33"/>
  <c r="E171" i="33"/>
  <c r="E191" i="33" s="1"/>
  <c r="Z168" i="33"/>
  <c r="AC169" i="33"/>
  <c r="Q66" i="33"/>
  <c r="M14" i="21" s="1"/>
  <c r="H82" i="33"/>
  <c r="I82" i="33" s="1"/>
  <c r="J82" i="33" s="1"/>
  <c r="K82" i="33" s="1"/>
  <c r="AE70" i="33"/>
  <c r="G99" i="33"/>
  <c r="M138" i="33"/>
  <c r="F137" i="33"/>
  <c r="G159" i="33"/>
  <c r="AB69" i="33"/>
  <c r="X17" i="21" s="1"/>
  <c r="N65" i="33"/>
  <c r="AA108" i="33"/>
  <c r="AB108" i="33" s="1"/>
  <c r="I64" i="33"/>
  <c r="E12" i="21" s="1"/>
  <c r="H60" i="33"/>
  <c r="D8" i="21" s="1"/>
  <c r="G80" i="33"/>
  <c r="H80" i="33" s="1"/>
  <c r="E185" i="33"/>
  <c r="G62" i="33"/>
  <c r="C10" i="21" s="1"/>
  <c r="C60" i="21" s="1"/>
  <c r="E56" i="33"/>
  <c r="E178" i="33" s="1"/>
  <c r="D315" i="33" s="1"/>
  <c r="F133" i="33"/>
  <c r="H52" i="33"/>
  <c r="I52" i="33" s="1"/>
  <c r="G32" i="33"/>
  <c r="G34" i="33" s="1"/>
  <c r="G85" i="33"/>
  <c r="H85" i="33" s="1"/>
  <c r="D192" i="33"/>
  <c r="D186" i="33" s="1"/>
  <c r="E141" i="33"/>
  <c r="E190" i="33" s="1"/>
  <c r="F127" i="33"/>
  <c r="D184" i="33"/>
  <c r="N275" i="33"/>
  <c r="G175" i="33"/>
  <c r="AA137" i="33"/>
  <c r="AB118" i="33"/>
  <c r="F98" i="33"/>
  <c r="G86" i="33"/>
  <c r="M133" i="33"/>
  <c r="N114" i="33"/>
  <c r="E183" i="33"/>
  <c r="F160" i="33"/>
  <c r="G61" i="33"/>
  <c r="C9" i="21" s="1"/>
  <c r="F128" i="33"/>
  <c r="G43" i="33"/>
  <c r="AC128" i="33"/>
  <c r="AD109" i="33"/>
  <c r="H26" i="33"/>
  <c r="H29" i="33" s="1"/>
  <c r="J22" i="33"/>
  <c r="F31" i="21" s="1"/>
  <c r="I94" i="33"/>
  <c r="R13" i="33"/>
  <c r="T9" i="33"/>
  <c r="AB162" i="33"/>
  <c r="AC148" i="33"/>
  <c r="V117" i="33"/>
  <c r="U136" i="33"/>
  <c r="T159" i="33"/>
  <c r="U145" i="33"/>
  <c r="U166" i="33"/>
  <c r="V67" i="33"/>
  <c r="R15" i="21" s="1"/>
  <c r="G163" i="33"/>
  <c r="F72" i="33"/>
  <c r="F179" i="33" s="1"/>
  <c r="E314" i="33" s="1"/>
  <c r="G136" i="33"/>
  <c r="H51" i="33"/>
  <c r="G127" i="33"/>
  <c r="H42" i="33"/>
  <c r="G17" i="33"/>
  <c r="K164" i="33"/>
  <c r="L150" i="33"/>
  <c r="F93" i="33"/>
  <c r="G81" i="33"/>
  <c r="T166" i="33"/>
  <c r="U135" i="33"/>
  <c r="V116" i="33"/>
  <c r="R126" i="33"/>
  <c r="S107" i="33"/>
  <c r="X167" i="33"/>
  <c r="Y68" i="33"/>
  <c r="U16" i="21" s="1"/>
  <c r="F162" i="33"/>
  <c r="G63" i="33"/>
  <c r="C11" i="21" s="1"/>
  <c r="O140" i="33"/>
  <c r="P55" i="33"/>
  <c r="F135" i="33"/>
  <c r="G50" i="33"/>
  <c r="F47" i="33"/>
  <c r="O131" i="33"/>
  <c r="P46" i="33"/>
  <c r="G126" i="33"/>
  <c r="H41" i="33"/>
  <c r="I125" i="33"/>
  <c r="J106" i="33"/>
  <c r="H99" i="33"/>
  <c r="I23" i="33"/>
  <c r="H310" i="33" s="1"/>
  <c r="H35" i="33"/>
  <c r="H177" i="33" s="1"/>
  <c r="AD163" i="33"/>
  <c r="AE149" i="33"/>
  <c r="AE163" i="33" s="1"/>
  <c r="U160" i="33"/>
  <c r="V146" i="33"/>
  <c r="AA161" i="33"/>
  <c r="AB147" i="33"/>
  <c r="U134" i="33"/>
  <c r="V115" i="33"/>
  <c r="W167" i="33"/>
  <c r="N138" i="33"/>
  <c r="O53" i="33"/>
  <c r="I134" i="33"/>
  <c r="J49" i="33"/>
  <c r="F125" i="33"/>
  <c r="G40" i="33"/>
  <c r="F39" i="33"/>
  <c r="H163" i="33"/>
  <c r="H30" i="33"/>
  <c r="L5" i="33"/>
  <c r="F33" i="33"/>
  <c r="F34" i="33" s="1"/>
  <c r="AC69" i="33" l="1"/>
  <c r="Y17" i="21" s="1"/>
  <c r="AB168" i="33"/>
  <c r="P25" i="21"/>
  <c r="S308" i="33"/>
  <c r="O44" i="33"/>
  <c r="O129" i="33" s="1"/>
  <c r="H133" i="33"/>
  <c r="I14" i="33"/>
  <c r="H26" i="21"/>
  <c r="J14" i="33"/>
  <c r="F26" i="21"/>
  <c r="I309" i="33"/>
  <c r="G26" i="21"/>
  <c r="C15" i="20"/>
  <c r="E14" i="20"/>
  <c r="I14" i="20"/>
  <c r="K14" i="20" s="1"/>
  <c r="F15" i="20"/>
  <c r="H14" i="20"/>
  <c r="L82" i="33"/>
  <c r="M82" i="33" s="1"/>
  <c r="N82" i="33" s="1"/>
  <c r="O82" i="33" s="1"/>
  <c r="P82" i="33" s="1"/>
  <c r="Q82" i="33" s="1"/>
  <c r="R82" i="33" s="1"/>
  <c r="S82" i="33" s="1"/>
  <c r="T82" i="33" s="1"/>
  <c r="U82" i="33" s="1"/>
  <c r="V82" i="33" s="1"/>
  <c r="W82" i="33" s="1"/>
  <c r="X82" i="33" s="1"/>
  <c r="Y82" i="33" s="1"/>
  <c r="Z82" i="33" s="1"/>
  <c r="AA82" i="33" s="1"/>
  <c r="AB82" i="33" s="1"/>
  <c r="AC82" i="33" s="1"/>
  <c r="AD82" i="33" s="1"/>
  <c r="AE82" i="33" s="1"/>
  <c r="E351" i="33"/>
  <c r="P165" i="33"/>
  <c r="G197" i="33"/>
  <c r="G195" i="33"/>
  <c r="O165" i="33"/>
  <c r="N165" i="33"/>
  <c r="I60" i="33"/>
  <c r="E8" i="21" s="1"/>
  <c r="Q30" i="21"/>
  <c r="V21" i="33"/>
  <c r="T25" i="33"/>
  <c r="AE169" i="33"/>
  <c r="G347" i="33"/>
  <c r="G161" i="33"/>
  <c r="R66" i="33"/>
  <c r="N14" i="21" s="1"/>
  <c r="Q165" i="33"/>
  <c r="H62" i="33"/>
  <c r="D10" i="21" s="1"/>
  <c r="D60" i="21" s="1"/>
  <c r="H137" i="33"/>
  <c r="AA18" i="21"/>
  <c r="I163" i="33"/>
  <c r="G97" i="33"/>
  <c r="G92" i="33"/>
  <c r="H94" i="33"/>
  <c r="AA127" i="33"/>
  <c r="J13" i="21"/>
  <c r="O65" i="33"/>
  <c r="J64" i="33"/>
  <c r="F12" i="21" s="1"/>
  <c r="H159" i="33"/>
  <c r="E180" i="33"/>
  <c r="E184" i="33"/>
  <c r="F56" i="33"/>
  <c r="F178" i="33" s="1"/>
  <c r="E315" i="33" s="1"/>
  <c r="E192" i="33"/>
  <c r="F141" i="33"/>
  <c r="F190" i="33" s="1"/>
  <c r="I30" i="33"/>
  <c r="E32" i="21"/>
  <c r="F101" i="33"/>
  <c r="F189" i="33" s="1"/>
  <c r="F183" i="33" s="1"/>
  <c r="H126" i="33"/>
  <c r="I41" i="33"/>
  <c r="M150" i="33"/>
  <c r="L164" i="33"/>
  <c r="H136" i="33"/>
  <c r="I51" i="33"/>
  <c r="AB127" i="33"/>
  <c r="AC108" i="33"/>
  <c r="H97" i="33"/>
  <c r="I85" i="33"/>
  <c r="AC162" i="33"/>
  <c r="AD148" i="33"/>
  <c r="AD128" i="33"/>
  <c r="AE109" i="33"/>
  <c r="AE128" i="33" s="1"/>
  <c r="M5" i="33"/>
  <c r="G125" i="33"/>
  <c r="G39" i="33"/>
  <c r="C21" i="21" s="1"/>
  <c r="J134" i="33"/>
  <c r="K49" i="33"/>
  <c r="AC168" i="33"/>
  <c r="AD69" i="33"/>
  <c r="Z17" i="21" s="1"/>
  <c r="AB161" i="33"/>
  <c r="AC147" i="33"/>
  <c r="G135" i="33"/>
  <c r="H50" i="33"/>
  <c r="G47" i="33"/>
  <c r="C22" i="21" s="1"/>
  <c r="G162" i="33"/>
  <c r="H63" i="33"/>
  <c r="D11" i="21" s="1"/>
  <c r="S126" i="33"/>
  <c r="T107" i="33"/>
  <c r="V166" i="33"/>
  <c r="W67" i="33"/>
  <c r="S15" i="21" s="1"/>
  <c r="I35" i="33"/>
  <c r="I177" i="33" s="1"/>
  <c r="I133" i="33"/>
  <c r="J48" i="33"/>
  <c r="G160" i="33"/>
  <c r="H61" i="33"/>
  <c r="D9" i="21" s="1"/>
  <c r="G72" i="33"/>
  <c r="G179" i="33" s="1"/>
  <c r="F314" i="33" s="1"/>
  <c r="G98" i="33"/>
  <c r="H86" i="33"/>
  <c r="O275" i="33"/>
  <c r="H175" i="33"/>
  <c r="J125" i="33"/>
  <c r="K106" i="33"/>
  <c r="P131" i="33"/>
  <c r="Q46" i="33"/>
  <c r="H92" i="33"/>
  <c r="I80" i="33"/>
  <c r="H127" i="33"/>
  <c r="I42" i="33"/>
  <c r="U159" i="33"/>
  <c r="V145" i="33"/>
  <c r="S13" i="33"/>
  <c r="U9" i="33"/>
  <c r="G128" i="33"/>
  <c r="H43" i="33"/>
  <c r="F171" i="33"/>
  <c r="F191" i="33" s="1"/>
  <c r="F185" i="33" s="1"/>
  <c r="O138" i="33"/>
  <c r="P53" i="33"/>
  <c r="V134" i="33"/>
  <c r="W115" i="33"/>
  <c r="V160" i="33"/>
  <c r="W146" i="33"/>
  <c r="I99" i="33"/>
  <c r="P140" i="33"/>
  <c r="Q55" i="33"/>
  <c r="Y167" i="33"/>
  <c r="Z68" i="33"/>
  <c r="V135" i="33"/>
  <c r="W116" i="33"/>
  <c r="G93" i="33"/>
  <c r="H81" i="33"/>
  <c r="V136" i="33"/>
  <c r="W117" i="33"/>
  <c r="M10" i="33"/>
  <c r="K14" i="33"/>
  <c r="I26" i="33"/>
  <c r="K22" i="33"/>
  <c r="G31" i="21" s="1"/>
  <c r="I137" i="33"/>
  <c r="J52" i="33"/>
  <c r="N133" i="33"/>
  <c r="O114" i="33"/>
  <c r="AB137" i="33"/>
  <c r="AC118" i="33"/>
  <c r="H32" i="33"/>
  <c r="H34" i="33" s="1"/>
  <c r="P44" i="33" l="1"/>
  <c r="P129" i="33" s="1"/>
  <c r="J60" i="33"/>
  <c r="F8" i="21" s="1"/>
  <c r="Q25" i="21"/>
  <c r="T308" i="33"/>
  <c r="J309" i="33"/>
  <c r="I26" i="21"/>
  <c r="H15" i="20"/>
  <c r="F16" i="20"/>
  <c r="C16" i="20"/>
  <c r="I15" i="20"/>
  <c r="K15" i="20" s="1"/>
  <c r="E15" i="20"/>
  <c r="G101" i="33"/>
  <c r="G189" i="33" s="1"/>
  <c r="G183" i="33" s="1"/>
  <c r="I159" i="33"/>
  <c r="R165" i="33"/>
  <c r="H197" i="33"/>
  <c r="H195" i="33"/>
  <c r="K64" i="33"/>
  <c r="G12" i="21" s="1"/>
  <c r="R30" i="21"/>
  <c r="U25" i="33"/>
  <c r="W21" i="33"/>
  <c r="V16" i="21"/>
  <c r="G345" i="33"/>
  <c r="I62" i="33"/>
  <c r="E10" i="21" s="1"/>
  <c r="E60" i="21" s="1"/>
  <c r="S66" i="33"/>
  <c r="O14" i="21" s="1"/>
  <c r="E186" i="33"/>
  <c r="H161" i="33"/>
  <c r="J163" i="33"/>
  <c r="C34" i="21"/>
  <c r="F180" i="33"/>
  <c r="K13" i="21"/>
  <c r="P65" i="33"/>
  <c r="G171" i="33"/>
  <c r="G191" i="33" s="1"/>
  <c r="G185" i="33" s="1"/>
  <c r="F184" i="33"/>
  <c r="I81" i="33"/>
  <c r="H93" i="33"/>
  <c r="V159" i="33"/>
  <c r="W145" i="33"/>
  <c r="H160" i="33"/>
  <c r="I61" i="33"/>
  <c r="E9" i="21" s="1"/>
  <c r="H72" i="33"/>
  <c r="H179" i="33" s="1"/>
  <c r="G314" i="33" s="1"/>
  <c r="H162" i="33"/>
  <c r="I63" i="33"/>
  <c r="E11" i="21" s="1"/>
  <c r="I136" i="33"/>
  <c r="J51" i="33"/>
  <c r="J26" i="33"/>
  <c r="L22" i="33"/>
  <c r="W136" i="33"/>
  <c r="X117" i="33"/>
  <c r="O133" i="33"/>
  <c r="P114" i="33"/>
  <c r="J137" i="33"/>
  <c r="K52" i="33"/>
  <c r="W134" i="33"/>
  <c r="X115" i="33"/>
  <c r="Q44" i="33"/>
  <c r="H128" i="33"/>
  <c r="I43" i="33"/>
  <c r="I39" i="33" s="1"/>
  <c r="E21" i="21" s="1"/>
  <c r="I127" i="33"/>
  <c r="J42" i="33"/>
  <c r="Q131" i="33"/>
  <c r="R46" i="33"/>
  <c r="I86" i="33"/>
  <c r="H98" i="33"/>
  <c r="AC161" i="33"/>
  <c r="AD147" i="33"/>
  <c r="G56" i="33"/>
  <c r="G178" i="33" s="1"/>
  <c r="AD162" i="33"/>
  <c r="AE148" i="33"/>
  <c r="AE162" i="33" s="1"/>
  <c r="AC127" i="33"/>
  <c r="AD108" i="33"/>
  <c r="F192" i="33"/>
  <c r="L14" i="33"/>
  <c r="N10" i="33"/>
  <c r="Q140" i="33"/>
  <c r="R55" i="33"/>
  <c r="T13" i="33"/>
  <c r="V9" i="33"/>
  <c r="W166" i="33"/>
  <c r="X67" i="33"/>
  <c r="T15" i="21" s="1"/>
  <c r="T126" i="33"/>
  <c r="U107" i="33"/>
  <c r="G141" i="33"/>
  <c r="G190" i="33" s="1"/>
  <c r="H39" i="33"/>
  <c r="D21" i="21" s="1"/>
  <c r="Z167" i="33"/>
  <c r="AA68" i="33"/>
  <c r="W16" i="21" s="1"/>
  <c r="W135" i="33"/>
  <c r="X116" i="33"/>
  <c r="AD118" i="33"/>
  <c r="AC137" i="33"/>
  <c r="I32" i="33"/>
  <c r="W160" i="33"/>
  <c r="X146" i="33"/>
  <c r="P138" i="33"/>
  <c r="Q53" i="33"/>
  <c r="I92" i="33"/>
  <c r="J80" i="33"/>
  <c r="K125" i="33"/>
  <c r="L106" i="33"/>
  <c r="P275" i="33"/>
  <c r="I175" i="33"/>
  <c r="J133" i="33"/>
  <c r="K48" i="33"/>
  <c r="H135" i="33"/>
  <c r="I50" i="33"/>
  <c r="H47" i="33"/>
  <c r="D22" i="21" s="1"/>
  <c r="AD168" i="33"/>
  <c r="AE69" i="33"/>
  <c r="G346" i="33" s="1"/>
  <c r="K134" i="33"/>
  <c r="L49" i="33"/>
  <c r="N5" i="33"/>
  <c r="I97" i="33"/>
  <c r="J85" i="33"/>
  <c r="N150" i="33"/>
  <c r="M164" i="33"/>
  <c r="I126" i="33"/>
  <c r="J41" i="33"/>
  <c r="K60" i="33" l="1"/>
  <c r="G8" i="21" s="1"/>
  <c r="J159" i="33"/>
  <c r="R25" i="21"/>
  <c r="U308" i="33"/>
  <c r="H31" i="21"/>
  <c r="K309" i="33"/>
  <c r="J26" i="21"/>
  <c r="C17" i="20"/>
  <c r="I16" i="20"/>
  <c r="K16" i="20" s="1"/>
  <c r="E16" i="20"/>
  <c r="F17" i="20"/>
  <c r="H16" i="20"/>
  <c r="H101" i="33"/>
  <c r="H189" i="33" s="1"/>
  <c r="H183" i="33" s="1"/>
  <c r="I161" i="33"/>
  <c r="L64" i="33"/>
  <c r="H12" i="21" s="1"/>
  <c r="I197" i="33"/>
  <c r="I195" i="33"/>
  <c r="S30" i="21"/>
  <c r="X21" i="33"/>
  <c r="V25" i="33"/>
  <c r="K163" i="33"/>
  <c r="J62" i="33"/>
  <c r="F10" i="21" s="1"/>
  <c r="F60" i="21" s="1"/>
  <c r="G184" i="33"/>
  <c r="T66" i="33"/>
  <c r="P14" i="21" s="1"/>
  <c r="S165" i="33"/>
  <c r="L13" i="21"/>
  <c r="Q65" i="33"/>
  <c r="AE168" i="33"/>
  <c r="AA17" i="21"/>
  <c r="D34" i="21"/>
  <c r="H141" i="33"/>
  <c r="H190" i="33" s="1"/>
  <c r="J126" i="33"/>
  <c r="K41" i="33"/>
  <c r="O150" i="33"/>
  <c r="N164" i="33"/>
  <c r="Q275" i="33"/>
  <c r="J175" i="33"/>
  <c r="J92" i="33"/>
  <c r="K80" i="33"/>
  <c r="C351" i="33" s="1"/>
  <c r="X160" i="33"/>
  <c r="Y146" i="33"/>
  <c r="AA167" i="33"/>
  <c r="AB68" i="33"/>
  <c r="X16" i="21" s="1"/>
  <c r="U13" i="33"/>
  <c r="W9" i="33"/>
  <c r="J127" i="33"/>
  <c r="K42" i="33"/>
  <c r="K26" i="33"/>
  <c r="M22" i="33"/>
  <c r="I162" i="33"/>
  <c r="J63" i="33"/>
  <c r="F11" i="21" s="1"/>
  <c r="J97" i="33"/>
  <c r="K85" i="33"/>
  <c r="C352" i="33" s="1"/>
  <c r="I27" i="33"/>
  <c r="I15" i="33"/>
  <c r="AE118" i="33"/>
  <c r="AE137" i="33" s="1"/>
  <c r="AD137" i="33"/>
  <c r="U126" i="33"/>
  <c r="V107" i="33"/>
  <c r="L60" i="33"/>
  <c r="H8" i="21" s="1"/>
  <c r="R140" i="33"/>
  <c r="S55" i="33"/>
  <c r="F186" i="33"/>
  <c r="AD161" i="33"/>
  <c r="AE147" i="33"/>
  <c r="AE161" i="33" s="1"/>
  <c r="J86" i="33"/>
  <c r="I98" i="33"/>
  <c r="Q129" i="33"/>
  <c r="R44" i="33"/>
  <c r="K137" i="33"/>
  <c r="L52" i="33"/>
  <c r="X136" i="33"/>
  <c r="Y117" i="33"/>
  <c r="J32" i="33"/>
  <c r="I160" i="33"/>
  <c r="J61" i="33"/>
  <c r="F9" i="21" s="1"/>
  <c r="I72" i="33"/>
  <c r="I179" i="33" s="1"/>
  <c r="H314" i="33" s="1"/>
  <c r="J81" i="33"/>
  <c r="I93" i="33"/>
  <c r="I101" i="33" s="1"/>
  <c r="I189" i="33" s="1"/>
  <c r="L134" i="33"/>
  <c r="M49" i="33"/>
  <c r="K133" i="33"/>
  <c r="L125" i="33"/>
  <c r="M106" i="33"/>
  <c r="Q138" i="33"/>
  <c r="R53" i="33"/>
  <c r="X135" i="33"/>
  <c r="Y116" i="33"/>
  <c r="AD127" i="33"/>
  <c r="AE108" i="33"/>
  <c r="AE127" i="33" s="1"/>
  <c r="F315" i="33"/>
  <c r="G180" i="33"/>
  <c r="R131" i="33"/>
  <c r="S46" i="33"/>
  <c r="J136" i="33"/>
  <c r="K51" i="33"/>
  <c r="H171" i="33"/>
  <c r="H191" i="33" s="1"/>
  <c r="H185" i="33" s="1"/>
  <c r="W159" i="33"/>
  <c r="X145" i="33"/>
  <c r="O5" i="33"/>
  <c r="I135" i="33"/>
  <c r="J50" i="33"/>
  <c r="I47" i="33"/>
  <c r="H56" i="33"/>
  <c r="H178" i="33" s="1"/>
  <c r="X166" i="33"/>
  <c r="Y67" i="33"/>
  <c r="U15" i="21" s="1"/>
  <c r="O10" i="33"/>
  <c r="M14" i="33"/>
  <c r="I128" i="33"/>
  <c r="J43" i="33"/>
  <c r="X134" i="33"/>
  <c r="Y115" i="33"/>
  <c r="P133" i="33"/>
  <c r="Q114" i="33"/>
  <c r="G192" i="33"/>
  <c r="C35" i="21" s="1"/>
  <c r="K159" i="33" l="1"/>
  <c r="S25" i="21"/>
  <c r="V308" i="33"/>
  <c r="I31" i="21"/>
  <c r="L309" i="33"/>
  <c r="K26" i="21"/>
  <c r="C18" i="20"/>
  <c r="I17" i="20"/>
  <c r="K17" i="20" s="1"/>
  <c r="E17" i="20"/>
  <c r="F18" i="20"/>
  <c r="H17" i="20"/>
  <c r="M64" i="33"/>
  <c r="I12" i="21" s="1"/>
  <c r="L163" i="33"/>
  <c r="J161" i="33"/>
  <c r="I171" i="33"/>
  <c r="I191" i="33" s="1"/>
  <c r="I185" i="33" s="1"/>
  <c r="J195" i="33"/>
  <c r="J197" i="33"/>
  <c r="T30" i="21"/>
  <c r="X25" i="33"/>
  <c r="W25" i="33"/>
  <c r="K62" i="33"/>
  <c r="G10" i="21" s="1"/>
  <c r="G60" i="21" s="1"/>
  <c r="U66" i="33"/>
  <c r="U165" i="33" s="1"/>
  <c r="T165" i="33"/>
  <c r="M13" i="21"/>
  <c r="R65" i="33"/>
  <c r="I56" i="33"/>
  <c r="I178" i="33" s="1"/>
  <c r="H315" i="33" s="1"/>
  <c r="E22" i="21"/>
  <c r="E34" i="21" s="1"/>
  <c r="I141" i="33"/>
  <c r="I190" i="33" s="1"/>
  <c r="I183" i="33"/>
  <c r="P10" i="33"/>
  <c r="N14" i="33"/>
  <c r="Y166" i="33"/>
  <c r="Z67" i="33"/>
  <c r="V15" i="21" s="1"/>
  <c r="Y135" i="33"/>
  <c r="Z116" i="33"/>
  <c r="R138" i="33"/>
  <c r="S53" i="33"/>
  <c r="K86" i="33"/>
  <c r="D352" i="33" s="1"/>
  <c r="J98" i="33"/>
  <c r="Y160" i="33"/>
  <c r="Z146" i="33"/>
  <c r="K92" i="33"/>
  <c r="L80" i="33"/>
  <c r="Y134" i="33"/>
  <c r="Z115" i="33"/>
  <c r="J135" i="33"/>
  <c r="K50" i="33"/>
  <c r="J47" i="33"/>
  <c r="F22" i="21" s="1"/>
  <c r="S131" i="33"/>
  <c r="T46" i="33"/>
  <c r="J160" i="33"/>
  <c r="K61" i="33"/>
  <c r="G9" i="21" s="1"/>
  <c r="J72" i="33"/>
  <c r="J179" i="33" s="1"/>
  <c r="I314" i="33" s="1"/>
  <c r="Z117" i="33"/>
  <c r="Y136" i="33"/>
  <c r="R129" i="33"/>
  <c r="S44" i="33"/>
  <c r="J162" i="33"/>
  <c r="K63" i="33"/>
  <c r="G11" i="21" s="1"/>
  <c r="L26" i="33"/>
  <c r="N22" i="33"/>
  <c r="K127" i="33"/>
  <c r="L42" i="33"/>
  <c r="V13" i="33"/>
  <c r="X9" i="33"/>
  <c r="P150" i="33"/>
  <c r="O164" i="33"/>
  <c r="G196" i="33"/>
  <c r="C36" i="21" s="1"/>
  <c r="G198" i="33"/>
  <c r="C37" i="21" s="1"/>
  <c r="G186" i="33"/>
  <c r="J128" i="33"/>
  <c r="K43" i="33"/>
  <c r="G315" i="33"/>
  <c r="H180" i="33"/>
  <c r="X159" i="33"/>
  <c r="Y145" i="33"/>
  <c r="M125" i="33"/>
  <c r="N106" i="33"/>
  <c r="M134" i="33"/>
  <c r="N49" i="33"/>
  <c r="V126" i="33"/>
  <c r="W107" i="33"/>
  <c r="I33" i="33"/>
  <c r="I34" i="33" s="1"/>
  <c r="I17" i="33"/>
  <c r="J11" i="33"/>
  <c r="K97" i="33"/>
  <c r="L85" i="33"/>
  <c r="K32" i="33"/>
  <c r="AB167" i="33"/>
  <c r="AC68" i="33"/>
  <c r="Y16" i="21" s="1"/>
  <c r="R275" i="33"/>
  <c r="K175" i="33"/>
  <c r="K126" i="33"/>
  <c r="L41" i="33"/>
  <c r="H192" i="33"/>
  <c r="D35" i="21" s="1"/>
  <c r="Q133" i="33"/>
  <c r="R114" i="33"/>
  <c r="P5" i="33"/>
  <c r="K136" i="33"/>
  <c r="L51" i="33"/>
  <c r="K81" i="33"/>
  <c r="D351" i="33" s="1"/>
  <c r="J93" i="33"/>
  <c r="J27" i="33"/>
  <c r="J29" i="33" s="1"/>
  <c r="J15" i="33"/>
  <c r="L137" i="33"/>
  <c r="M52" i="33"/>
  <c r="S140" i="33"/>
  <c r="T55" i="33"/>
  <c r="L159" i="33"/>
  <c r="M60" i="33"/>
  <c r="I8" i="21" s="1"/>
  <c r="J23" i="33"/>
  <c r="F32" i="21" s="1"/>
  <c r="I29" i="33"/>
  <c r="J39" i="33"/>
  <c r="H184" i="33"/>
  <c r="V69" i="21"/>
  <c r="M163" i="33" l="1"/>
  <c r="L62" i="33"/>
  <c r="H10" i="21" s="1"/>
  <c r="H60" i="21" s="1"/>
  <c r="N64" i="33"/>
  <c r="J12" i="21" s="1"/>
  <c r="T25" i="21"/>
  <c r="W308" i="33"/>
  <c r="J31" i="21"/>
  <c r="M309" i="33"/>
  <c r="F27" i="21"/>
  <c r="I310" i="33"/>
  <c r="L26" i="21"/>
  <c r="C19" i="20"/>
  <c r="E18" i="20"/>
  <c r="I18" i="20"/>
  <c r="K18" i="20" s="1"/>
  <c r="F19" i="20"/>
  <c r="H18" i="20"/>
  <c r="K161" i="33"/>
  <c r="K195" i="33"/>
  <c r="K197" i="33"/>
  <c r="Q14" i="21"/>
  <c r="G343" i="33"/>
  <c r="V66" i="33"/>
  <c r="R14" i="21" s="1"/>
  <c r="I180" i="33"/>
  <c r="I184" i="33"/>
  <c r="N13" i="21"/>
  <c r="S65" i="33"/>
  <c r="I192" i="33"/>
  <c r="E35" i="21" s="1"/>
  <c r="J56" i="33"/>
  <c r="J178" i="33" s="1"/>
  <c r="I315" i="33" s="1"/>
  <c r="F21" i="21"/>
  <c r="J141" i="33"/>
  <c r="J190" i="33" s="1"/>
  <c r="L97" i="33"/>
  <c r="M85" i="33"/>
  <c r="Q150" i="33"/>
  <c r="P164" i="33"/>
  <c r="M26" i="33"/>
  <c r="O22" i="33"/>
  <c r="J171" i="33"/>
  <c r="J191" i="33" s="1"/>
  <c r="J185" i="33" s="1"/>
  <c r="Z134" i="33"/>
  <c r="AA115" i="33"/>
  <c r="L86" i="33"/>
  <c r="K98" i="33"/>
  <c r="M159" i="33"/>
  <c r="N60" i="33"/>
  <c r="J8" i="21" s="1"/>
  <c r="M137" i="33"/>
  <c r="N52" i="33"/>
  <c r="L136" i="33"/>
  <c r="M51" i="33"/>
  <c r="Q5" i="33"/>
  <c r="R133" i="33"/>
  <c r="S114" i="33"/>
  <c r="H198" i="33"/>
  <c r="D37" i="21" s="1"/>
  <c r="H186" i="33"/>
  <c r="H196" i="33"/>
  <c r="D36" i="21" s="1"/>
  <c r="S275" i="33"/>
  <c r="L175" i="33"/>
  <c r="W126" i="33"/>
  <c r="X107" i="33"/>
  <c r="L32" i="33"/>
  <c r="Z136" i="33"/>
  <c r="AA117" i="33"/>
  <c r="T131" i="33"/>
  <c r="U46" i="33"/>
  <c r="Z160" i="33"/>
  <c r="AA146" i="33"/>
  <c r="S138" i="33"/>
  <c r="T53" i="33"/>
  <c r="Z166" i="33"/>
  <c r="AA67" i="33"/>
  <c r="W15" i="21" s="1"/>
  <c r="Q10" i="33"/>
  <c r="O14" i="33"/>
  <c r="K28" i="33"/>
  <c r="L24" i="33" s="1"/>
  <c r="H33" i="21" s="1"/>
  <c r="K16" i="33"/>
  <c r="L12" i="33" s="1"/>
  <c r="J94" i="33"/>
  <c r="K11" i="33"/>
  <c r="J18" i="33"/>
  <c r="N125" i="33"/>
  <c r="O106" i="33"/>
  <c r="Y159" i="33"/>
  <c r="Z145" i="33"/>
  <c r="K128" i="33"/>
  <c r="L43" i="33"/>
  <c r="L39" i="33" s="1"/>
  <c r="H21" i="21" s="1"/>
  <c r="X13" i="33"/>
  <c r="W13" i="33"/>
  <c r="S129" i="33"/>
  <c r="T44" i="33"/>
  <c r="K135" i="33"/>
  <c r="L50" i="33"/>
  <c r="K47" i="33"/>
  <c r="G22" i="21" s="1"/>
  <c r="L126" i="33"/>
  <c r="M41" i="33"/>
  <c r="AC167" i="33"/>
  <c r="AD68" i="33"/>
  <c r="Z16" i="21" s="1"/>
  <c r="J99" i="33"/>
  <c r="K23" i="33"/>
  <c r="G32" i="21" s="1"/>
  <c r="J30" i="33"/>
  <c r="J35" i="33"/>
  <c r="J177" i="33" s="1"/>
  <c r="T140" i="33"/>
  <c r="U55" i="33"/>
  <c r="J33" i="33"/>
  <c r="J34" i="33" s="1"/>
  <c r="J17" i="33"/>
  <c r="L81" i="33"/>
  <c r="K93" i="33"/>
  <c r="L161" i="33"/>
  <c r="K39" i="33"/>
  <c r="N134" i="33"/>
  <c r="O49" i="33"/>
  <c r="L127" i="33"/>
  <c r="M42" i="33"/>
  <c r="K162" i="33"/>
  <c r="L63" i="33"/>
  <c r="H11" i="21" s="1"/>
  <c r="K160" i="33"/>
  <c r="L61" i="33"/>
  <c r="H9" i="21" s="1"/>
  <c r="K72" i="33"/>
  <c r="K179" i="33" s="1"/>
  <c r="J314" i="33" s="1"/>
  <c r="L92" i="33"/>
  <c r="M80" i="33"/>
  <c r="Z135" i="33"/>
  <c r="AA116" i="33"/>
  <c r="S69" i="21"/>
  <c r="O69" i="21"/>
  <c r="K69" i="21"/>
  <c r="G69" i="21"/>
  <c r="C69" i="21"/>
  <c r="R69" i="21"/>
  <c r="N69" i="21"/>
  <c r="J69" i="21"/>
  <c r="F69" i="21"/>
  <c r="U69" i="21"/>
  <c r="Q69" i="21"/>
  <c r="M69" i="21"/>
  <c r="I69" i="21"/>
  <c r="E69" i="21"/>
  <c r="T69" i="21"/>
  <c r="P69" i="21"/>
  <c r="L69" i="21"/>
  <c r="H69" i="21"/>
  <c r="D69" i="21"/>
  <c r="M62" i="33" l="1"/>
  <c r="I10" i="21" s="1"/>
  <c r="I60" i="21" s="1"/>
  <c r="O64" i="33"/>
  <c r="K12" i="21" s="1"/>
  <c r="N163" i="33"/>
  <c r="K31" i="21"/>
  <c r="N309" i="33"/>
  <c r="G27" i="21"/>
  <c r="J310" i="33"/>
  <c r="M26" i="21"/>
  <c r="F34" i="21"/>
  <c r="H28" i="21"/>
  <c r="K311" i="33"/>
  <c r="C20" i="20"/>
  <c r="E19" i="20"/>
  <c r="I19" i="20"/>
  <c r="K19" i="20" s="1"/>
  <c r="F20" i="20"/>
  <c r="H19" i="20"/>
  <c r="W66" i="33"/>
  <c r="S14" i="21" s="1"/>
  <c r="L197" i="33"/>
  <c r="L195" i="33"/>
  <c r="V165" i="33"/>
  <c r="I196" i="33"/>
  <c r="E36" i="21" s="1"/>
  <c r="I186" i="33"/>
  <c r="I198" i="33"/>
  <c r="E37" i="21" s="1"/>
  <c r="O13" i="21"/>
  <c r="T65" i="33"/>
  <c r="K171" i="33"/>
  <c r="K191" i="33" s="1"/>
  <c r="K185" i="33" s="1"/>
  <c r="J184" i="33"/>
  <c r="K141" i="33"/>
  <c r="K190" i="33" s="1"/>
  <c r="K56" i="33"/>
  <c r="K178" i="33" s="1"/>
  <c r="J315" i="33" s="1"/>
  <c r="G21" i="21"/>
  <c r="G34" i="21" s="1"/>
  <c r="J180" i="33"/>
  <c r="J101" i="33"/>
  <c r="J189" i="33" s="1"/>
  <c r="J192" i="33" s="1"/>
  <c r="F35" i="21" s="1"/>
  <c r="T129" i="33"/>
  <c r="U44" i="33"/>
  <c r="S133" i="33"/>
  <c r="T114" i="33"/>
  <c r="M97" i="33"/>
  <c r="N85" i="33"/>
  <c r="AA135" i="33"/>
  <c r="AB116" i="33"/>
  <c r="P64" i="33"/>
  <c r="L12" i="21" s="1"/>
  <c r="L162" i="33"/>
  <c r="M63" i="33"/>
  <c r="I11" i="21" s="1"/>
  <c r="U140" i="33"/>
  <c r="V55" i="33"/>
  <c r="K99" i="33"/>
  <c r="L23" i="33"/>
  <c r="H32" i="21" s="1"/>
  <c r="K30" i="33"/>
  <c r="K35" i="33"/>
  <c r="K177" i="33" s="1"/>
  <c r="Z159" i="33"/>
  <c r="AA145" i="33"/>
  <c r="L95" i="33"/>
  <c r="AA166" i="33"/>
  <c r="AB67" i="33"/>
  <c r="X15" i="21" s="1"/>
  <c r="AA160" i="33"/>
  <c r="AB146" i="33"/>
  <c r="AA136" i="33"/>
  <c r="AB117" i="33"/>
  <c r="X126" i="33"/>
  <c r="Y107" i="33"/>
  <c r="M136" i="33"/>
  <c r="N51" i="33"/>
  <c r="N159" i="33"/>
  <c r="O60" i="33"/>
  <c r="K8" i="21" s="1"/>
  <c r="M86" i="33"/>
  <c r="L98" i="33"/>
  <c r="R150" i="33"/>
  <c r="Q164" i="33"/>
  <c r="M81" i="33"/>
  <c r="L93" i="33"/>
  <c r="M126" i="33"/>
  <c r="N41" i="33"/>
  <c r="L135" i="33"/>
  <c r="M50" i="33"/>
  <c r="L47" i="33"/>
  <c r="K94" i="33"/>
  <c r="L11" i="33"/>
  <c r="K18" i="33"/>
  <c r="L100" i="33"/>
  <c r="P14" i="33"/>
  <c r="R10" i="33"/>
  <c r="R5" i="33"/>
  <c r="M32" i="33"/>
  <c r="M92" i="33"/>
  <c r="N80" i="33"/>
  <c r="O134" i="33"/>
  <c r="P49" i="33"/>
  <c r="L160" i="33"/>
  <c r="M61" i="33"/>
  <c r="I9" i="21" s="1"/>
  <c r="L72" i="33"/>
  <c r="L179" i="33" s="1"/>
  <c r="K314" i="33" s="1"/>
  <c r="M127" i="33"/>
  <c r="N42" i="33"/>
  <c r="M161" i="33"/>
  <c r="N62" i="33"/>
  <c r="J10" i="21" s="1"/>
  <c r="J60" i="21" s="1"/>
  <c r="AD167" i="33"/>
  <c r="AE68" i="33"/>
  <c r="L128" i="33"/>
  <c r="M43" i="33"/>
  <c r="O125" i="33"/>
  <c r="P106" i="33"/>
  <c r="T138" i="33"/>
  <c r="U53" i="33"/>
  <c r="U131" i="33"/>
  <c r="V46" i="33"/>
  <c r="L28" i="33"/>
  <c r="M24" i="33" s="1"/>
  <c r="I33" i="21" s="1"/>
  <c r="L16" i="33"/>
  <c r="M12" i="33" s="1"/>
  <c r="T275" i="33"/>
  <c r="M175" i="33"/>
  <c r="N137" i="33"/>
  <c r="O52" i="33"/>
  <c r="AA134" i="33"/>
  <c r="AB115" i="33"/>
  <c r="N26" i="33"/>
  <c r="P22" i="33"/>
  <c r="C46" i="21"/>
  <c r="D46" i="21"/>
  <c r="E46" i="21"/>
  <c r="F46" i="21"/>
  <c r="G46" i="21"/>
  <c r="H46" i="21"/>
  <c r="I46" i="21"/>
  <c r="J46" i="21"/>
  <c r="K46" i="21"/>
  <c r="W46" i="21"/>
  <c r="X46" i="21"/>
  <c r="Y46" i="21"/>
  <c r="Z46" i="21"/>
  <c r="AA46" i="21"/>
  <c r="C47" i="21"/>
  <c r="AA47" i="21"/>
  <c r="C48" i="21"/>
  <c r="C49" i="21"/>
  <c r="D49" i="21"/>
  <c r="E49" i="21"/>
  <c r="F49" i="21"/>
  <c r="G49" i="21"/>
  <c r="C54" i="21"/>
  <c r="D54" i="21"/>
  <c r="E54" i="21"/>
  <c r="F54" i="21"/>
  <c r="G54" i="21"/>
  <c r="H54" i="21"/>
  <c r="I54" i="21"/>
  <c r="J54" i="21"/>
  <c r="K54" i="21"/>
  <c r="W54" i="21"/>
  <c r="X54" i="21"/>
  <c r="Y54" i="21"/>
  <c r="Z54" i="21"/>
  <c r="AA54" i="21"/>
  <c r="C55" i="21"/>
  <c r="AA55" i="21"/>
  <c r="C56" i="21"/>
  <c r="C57" i="21"/>
  <c r="D57" i="21"/>
  <c r="E57" i="21"/>
  <c r="F57" i="21"/>
  <c r="G57" i="21"/>
  <c r="D55" i="21"/>
  <c r="O54" i="21"/>
  <c r="D47" i="21"/>
  <c r="O163" i="33" l="1"/>
  <c r="L171" i="33"/>
  <c r="L191" i="33" s="1"/>
  <c r="L185" i="33" s="1"/>
  <c r="K101" i="33"/>
  <c r="K189" i="33" s="1"/>
  <c r="K183" i="33" s="1"/>
  <c r="L31" i="21"/>
  <c r="O309" i="33"/>
  <c r="N26" i="21"/>
  <c r="I28" i="21"/>
  <c r="L311" i="33"/>
  <c r="H27" i="21"/>
  <c r="K310" i="33"/>
  <c r="C21" i="20"/>
  <c r="I20" i="20"/>
  <c r="K20" i="20" s="1"/>
  <c r="E20" i="20"/>
  <c r="F21" i="20"/>
  <c r="H20" i="20"/>
  <c r="W165" i="33"/>
  <c r="X66" i="33"/>
  <c r="T14" i="21" s="1"/>
  <c r="M197" i="33"/>
  <c r="M195" i="33"/>
  <c r="P13" i="21"/>
  <c r="U65" i="33"/>
  <c r="AE167" i="33"/>
  <c r="AA16" i="21"/>
  <c r="K184" i="33"/>
  <c r="K180" i="33"/>
  <c r="L141" i="33"/>
  <c r="L190" i="33" s="1"/>
  <c r="L56" i="33"/>
  <c r="L178" i="33" s="1"/>
  <c r="K315" i="33" s="1"/>
  <c r="H22" i="21"/>
  <c r="J183" i="33"/>
  <c r="M95" i="33"/>
  <c r="K192" i="33"/>
  <c r="G35" i="21" s="1"/>
  <c r="M100" i="33"/>
  <c r="O26" i="33"/>
  <c r="Q22" i="33"/>
  <c r="O137" i="33"/>
  <c r="P52" i="33"/>
  <c r="N161" i="33"/>
  <c r="O62" i="33"/>
  <c r="K10" i="21" s="1"/>
  <c r="K60" i="21" s="1"/>
  <c r="P134" i="33"/>
  <c r="Q49" i="33"/>
  <c r="M28" i="33"/>
  <c r="N24" i="33" s="1"/>
  <c r="J33" i="21" s="1"/>
  <c r="M16" i="33"/>
  <c r="N12" i="33" s="1"/>
  <c r="N126" i="33"/>
  <c r="O41" i="33"/>
  <c r="N81" i="33"/>
  <c r="M93" i="33"/>
  <c r="N86" i="33"/>
  <c r="M98" i="33"/>
  <c r="N136" i="33"/>
  <c r="O51" i="33"/>
  <c r="AB136" i="33"/>
  <c r="AC117" i="33"/>
  <c r="AB166" i="33"/>
  <c r="AC67" i="33"/>
  <c r="Y15" i="21" s="1"/>
  <c r="V140" i="33"/>
  <c r="W55" i="33"/>
  <c r="P163" i="33"/>
  <c r="Q64" i="33"/>
  <c r="M12" i="21" s="1"/>
  <c r="N97" i="33"/>
  <c r="O85" i="33"/>
  <c r="N32" i="33"/>
  <c r="AB134" i="33"/>
  <c r="AC115" i="33"/>
  <c r="U138" i="33"/>
  <c r="V53" i="33"/>
  <c r="M128" i="33"/>
  <c r="N43" i="33"/>
  <c r="M160" i="33"/>
  <c r="N61" i="33"/>
  <c r="J9" i="21" s="1"/>
  <c r="M72" i="33"/>
  <c r="M179" i="33" s="1"/>
  <c r="L314" i="33" s="1"/>
  <c r="S10" i="33"/>
  <c r="Q14" i="33"/>
  <c r="L94" i="33"/>
  <c r="K15" i="33"/>
  <c r="M11" i="33"/>
  <c r="L18" i="33"/>
  <c r="M39" i="33"/>
  <c r="I21" i="21" s="1"/>
  <c r="O159" i="33"/>
  <c r="P60" i="33"/>
  <c r="L8" i="21" s="1"/>
  <c r="AA159" i="33"/>
  <c r="AB145" i="33"/>
  <c r="U129" i="33"/>
  <c r="V44" i="33"/>
  <c r="U275" i="33"/>
  <c r="N175" i="33"/>
  <c r="N127" i="33"/>
  <c r="O42" i="33"/>
  <c r="S5" i="33"/>
  <c r="M135" i="33"/>
  <c r="N50" i="33"/>
  <c r="M47" i="33"/>
  <c r="I22" i="21" s="1"/>
  <c r="S150" i="33"/>
  <c r="R164" i="33"/>
  <c r="Y126" i="33"/>
  <c r="Z107" i="33"/>
  <c r="AB160" i="33"/>
  <c r="AC146" i="33"/>
  <c r="L99" i="33"/>
  <c r="K27" i="33"/>
  <c r="K29" i="33" s="1"/>
  <c r="M23" i="33"/>
  <c r="I32" i="21" s="1"/>
  <c r="L35" i="33"/>
  <c r="L177" i="33" s="1"/>
  <c r="L30" i="33"/>
  <c r="M162" i="33"/>
  <c r="N63" i="33"/>
  <c r="J11" i="21" s="1"/>
  <c r="AB135" i="33"/>
  <c r="AC116" i="33"/>
  <c r="T133" i="33"/>
  <c r="U114" i="33"/>
  <c r="V131" i="33"/>
  <c r="W46" i="33"/>
  <c r="P125" i="33"/>
  <c r="Q106" i="33"/>
  <c r="N92" i="33"/>
  <c r="O80" i="33"/>
  <c r="J186" i="33"/>
  <c r="J196" i="33"/>
  <c r="F36" i="21" s="1"/>
  <c r="J198" i="33"/>
  <c r="F37" i="21" s="1"/>
  <c r="D56" i="21"/>
  <c r="D48" i="21"/>
  <c r="D50" i="21" s="1"/>
  <c r="V54" i="21"/>
  <c r="N54" i="21"/>
  <c r="C65" i="21"/>
  <c r="J62" i="21"/>
  <c r="C64" i="21"/>
  <c r="E62" i="21"/>
  <c r="P54" i="21"/>
  <c r="L54" i="21"/>
  <c r="E65" i="21"/>
  <c r="AA63" i="21"/>
  <c r="C63" i="21"/>
  <c r="X62" i="21"/>
  <c r="L46" i="21"/>
  <c r="H62" i="21"/>
  <c r="D62" i="21"/>
  <c r="G65" i="21"/>
  <c r="Z62" i="21"/>
  <c r="V46" i="21"/>
  <c r="N46" i="21"/>
  <c r="F62" i="21"/>
  <c r="U54" i="21"/>
  <c r="M54" i="21"/>
  <c r="F65" i="21"/>
  <c r="D63" i="21"/>
  <c r="Y62" i="21"/>
  <c r="U46" i="21"/>
  <c r="M46" i="21"/>
  <c r="I62" i="21"/>
  <c r="C58" i="21"/>
  <c r="D65" i="21"/>
  <c r="AA62" i="21"/>
  <c r="W62" i="21"/>
  <c r="K62" i="21"/>
  <c r="G62" i="21"/>
  <c r="C62" i="21"/>
  <c r="C50" i="21"/>
  <c r="E48" i="21"/>
  <c r="Q54" i="21"/>
  <c r="E56" i="21"/>
  <c r="D26" i="9"/>
  <c r="C26" i="9"/>
  <c r="C19" i="10"/>
  <c r="C22" i="10" s="1"/>
  <c r="X165" i="33" l="1"/>
  <c r="Y66" i="33"/>
  <c r="U14" i="21" s="1"/>
  <c r="M31" i="21"/>
  <c r="P309" i="33"/>
  <c r="H34" i="21"/>
  <c r="I27" i="21"/>
  <c r="I34" i="21" s="1"/>
  <c r="L310" i="33"/>
  <c r="O26" i="21"/>
  <c r="J28" i="21"/>
  <c r="M311" i="33"/>
  <c r="C22" i="20"/>
  <c r="I21" i="20"/>
  <c r="K21" i="20" s="1"/>
  <c r="E21" i="20"/>
  <c r="F22" i="20"/>
  <c r="H21" i="20"/>
  <c r="N195" i="33"/>
  <c r="N197" i="33"/>
  <c r="Q13" i="21"/>
  <c r="V65" i="33"/>
  <c r="L180" i="33"/>
  <c r="L184" i="33"/>
  <c r="M141" i="33"/>
  <c r="M190" i="33" s="1"/>
  <c r="D64" i="21"/>
  <c r="D58" i="21"/>
  <c r="D66" i="21" s="1"/>
  <c r="C52" i="21"/>
  <c r="D52" i="21"/>
  <c r="E64" i="21"/>
  <c r="N95" i="33"/>
  <c r="N100" i="33"/>
  <c r="Y165" i="33"/>
  <c r="M56" i="33"/>
  <c r="M178" i="33" s="1"/>
  <c r="L315" i="33" s="1"/>
  <c r="L101" i="33"/>
  <c r="L189" i="33" s="1"/>
  <c r="T10" i="33"/>
  <c r="R14" i="33"/>
  <c r="N128" i="33"/>
  <c r="O43" i="33"/>
  <c r="O39" i="33" s="1"/>
  <c r="K21" i="21" s="1"/>
  <c r="AD115" i="33"/>
  <c r="AC134" i="33"/>
  <c r="O97" i="33"/>
  <c r="P85" i="33"/>
  <c r="W140" i="33"/>
  <c r="X55" i="33"/>
  <c r="AD117" i="33"/>
  <c r="AC136" i="33"/>
  <c r="O126" i="33"/>
  <c r="P41" i="33"/>
  <c r="K196" i="33"/>
  <c r="G36" i="21" s="1"/>
  <c r="K198" i="33"/>
  <c r="G37" i="21" s="1"/>
  <c r="K186" i="33"/>
  <c r="Q125" i="33"/>
  <c r="R106" i="33"/>
  <c r="U133" i="33"/>
  <c r="V114" i="33"/>
  <c r="N162" i="33"/>
  <c r="O63" i="33"/>
  <c r="K11" i="21" s="1"/>
  <c r="M99" i="33"/>
  <c r="L27" i="33"/>
  <c r="L29" i="33" s="1"/>
  <c r="N23" i="33"/>
  <c r="J32" i="21" s="1"/>
  <c r="M30" i="33"/>
  <c r="M35" i="33"/>
  <c r="M177" i="33" s="1"/>
  <c r="AC160" i="33"/>
  <c r="AD146" i="33"/>
  <c r="N135" i="33"/>
  <c r="O50" i="33"/>
  <c r="N47" i="33"/>
  <c r="J22" i="21" s="1"/>
  <c r="T5" i="33"/>
  <c r="O127" i="33"/>
  <c r="P42" i="33"/>
  <c r="V129" i="33"/>
  <c r="W44" i="33"/>
  <c r="P159" i="33"/>
  <c r="Q60" i="33"/>
  <c r="M8" i="21" s="1"/>
  <c r="O86" i="33"/>
  <c r="N98" i="33"/>
  <c r="N39" i="33"/>
  <c r="P137" i="33"/>
  <c r="Q52" i="33"/>
  <c r="P26" i="33"/>
  <c r="R22" i="33"/>
  <c r="T150" i="33"/>
  <c r="S164" i="33"/>
  <c r="M94" i="33"/>
  <c r="N11" i="33"/>
  <c r="L15" i="33"/>
  <c r="M18" i="33"/>
  <c r="N160" i="33"/>
  <c r="O61" i="33"/>
  <c r="K9" i="21" s="1"/>
  <c r="N72" i="33"/>
  <c r="N179" i="33" s="1"/>
  <c r="M314" i="33" s="1"/>
  <c r="V138" i="33"/>
  <c r="W53" i="33"/>
  <c r="N28" i="33"/>
  <c r="O24" i="33" s="1"/>
  <c r="K33" i="21" s="1"/>
  <c r="N16" i="33"/>
  <c r="O12" i="33" s="1"/>
  <c r="Q163" i="33"/>
  <c r="R64" i="33"/>
  <c r="N12" i="21" s="1"/>
  <c r="AC166" i="33"/>
  <c r="AD67" i="33"/>
  <c r="Z15" i="21" s="1"/>
  <c r="O136" i="33"/>
  <c r="P51" i="33"/>
  <c r="O161" i="33"/>
  <c r="P62" i="33"/>
  <c r="L10" i="21" s="1"/>
  <c r="L60" i="21" s="1"/>
  <c r="O32" i="33"/>
  <c r="O92" i="33"/>
  <c r="P80" i="33"/>
  <c r="W131" i="33"/>
  <c r="X46" i="33"/>
  <c r="AC135" i="33"/>
  <c r="AD116" i="33"/>
  <c r="Z126" i="33"/>
  <c r="AA107" i="33"/>
  <c r="V275" i="33"/>
  <c r="O175" i="33"/>
  <c r="AB159" i="33"/>
  <c r="AC145" i="33"/>
  <c r="K33" i="33"/>
  <c r="K34" i="33" s="1"/>
  <c r="K17" i="33"/>
  <c r="M171" i="33"/>
  <c r="M191" i="33" s="1"/>
  <c r="M185" i="33" s="1"/>
  <c r="O81" i="33"/>
  <c r="N93" i="33"/>
  <c r="Q134" i="33"/>
  <c r="R49" i="33"/>
  <c r="E55" i="21"/>
  <c r="E58" i="21" s="1"/>
  <c r="O46" i="21"/>
  <c r="O62" i="21" s="1"/>
  <c r="E47" i="21"/>
  <c r="M62" i="21"/>
  <c r="N62" i="21"/>
  <c r="C66" i="21"/>
  <c r="U62" i="21"/>
  <c r="V62" i="21"/>
  <c r="L62" i="21"/>
  <c r="Z66" i="33" l="1"/>
  <c r="V14" i="21" s="1"/>
  <c r="N31" i="21"/>
  <c r="Q309" i="33"/>
  <c r="M101" i="33"/>
  <c r="M189" i="33" s="1"/>
  <c r="M192" i="33" s="1"/>
  <c r="I35" i="21" s="1"/>
  <c r="P26" i="21"/>
  <c r="K28" i="21"/>
  <c r="N311" i="33"/>
  <c r="J27" i="21"/>
  <c r="M310" i="33"/>
  <c r="F23" i="20"/>
  <c r="H22" i="20"/>
  <c r="C23" i="20"/>
  <c r="E22" i="20"/>
  <c r="I22" i="20"/>
  <c r="K22" i="20" s="1"/>
  <c r="O195" i="33"/>
  <c r="O197" i="33"/>
  <c r="N171" i="33"/>
  <c r="N191" i="33" s="1"/>
  <c r="N185" i="33" s="1"/>
  <c r="R13" i="21"/>
  <c r="W65" i="33"/>
  <c r="N141" i="33"/>
  <c r="N190" i="33" s="1"/>
  <c r="M180" i="33"/>
  <c r="N56" i="33"/>
  <c r="N178" i="33" s="1"/>
  <c r="M315" i="33" s="1"/>
  <c r="J21" i="21"/>
  <c r="C68" i="21"/>
  <c r="E52" i="21"/>
  <c r="O95" i="33"/>
  <c r="O100" i="33"/>
  <c r="W275" i="33"/>
  <c r="P175" i="33"/>
  <c r="AD135" i="33"/>
  <c r="AE116" i="33"/>
  <c r="AE135" i="33" s="1"/>
  <c r="P92" i="33"/>
  <c r="Q80" i="33"/>
  <c r="P161" i="33"/>
  <c r="Q62" i="33"/>
  <c r="M10" i="21" s="1"/>
  <c r="M60" i="21" s="1"/>
  <c r="W138" i="33"/>
  <c r="X53" i="33"/>
  <c r="Q26" i="33"/>
  <c r="S22" i="33"/>
  <c r="Q159" i="33"/>
  <c r="R60" i="33"/>
  <c r="N8" i="21" s="1"/>
  <c r="U5" i="33"/>
  <c r="O162" i="33"/>
  <c r="P63" i="33"/>
  <c r="L11" i="21" s="1"/>
  <c r="R125" i="33"/>
  <c r="S106" i="33"/>
  <c r="P97" i="33"/>
  <c r="Q85" i="33"/>
  <c r="O128" i="33"/>
  <c r="P43" i="33"/>
  <c r="U10" i="33"/>
  <c r="S14" i="33"/>
  <c r="R134" i="33"/>
  <c r="S49" i="33"/>
  <c r="P81" i="33"/>
  <c r="O93" i="33"/>
  <c r="AD166" i="33"/>
  <c r="AE67" i="33"/>
  <c r="P32" i="33"/>
  <c r="P127" i="33"/>
  <c r="Q42" i="33"/>
  <c r="AD160" i="33"/>
  <c r="AE146" i="33"/>
  <c r="AE160" i="33" s="1"/>
  <c r="N99" i="33"/>
  <c r="M27" i="33"/>
  <c r="M29" i="33" s="1"/>
  <c r="O23" i="33"/>
  <c r="K32" i="21" s="1"/>
  <c r="N30" i="33"/>
  <c r="N35" i="33"/>
  <c r="N177" i="33" s="1"/>
  <c r="P126" i="33"/>
  <c r="P39" i="33"/>
  <c r="L21" i="21" s="1"/>
  <c r="AD136" i="33"/>
  <c r="AE117" i="33"/>
  <c r="AE136" i="33" s="1"/>
  <c r="M184" i="33"/>
  <c r="AC159" i="33"/>
  <c r="AD145" i="33"/>
  <c r="X131" i="33"/>
  <c r="Y46" i="33"/>
  <c r="O28" i="33"/>
  <c r="P24" i="33" s="1"/>
  <c r="L33" i="21" s="1"/>
  <c r="O16" i="33"/>
  <c r="P12" i="33" s="1"/>
  <c r="L33" i="33"/>
  <c r="L34" i="33" s="1"/>
  <c r="L17" i="33"/>
  <c r="V133" i="33"/>
  <c r="W114" i="33"/>
  <c r="X140" i="33"/>
  <c r="Y55" i="33"/>
  <c r="AA126" i="33"/>
  <c r="AB107" i="33"/>
  <c r="P136" i="33"/>
  <c r="Q51" i="33"/>
  <c r="R163" i="33"/>
  <c r="S64" i="33"/>
  <c r="O12" i="21" s="1"/>
  <c r="O160" i="33"/>
  <c r="P61" i="33"/>
  <c r="L9" i="21" s="1"/>
  <c r="O72" i="33"/>
  <c r="O179" i="33" s="1"/>
  <c r="N314" i="33" s="1"/>
  <c r="N94" i="33"/>
  <c r="M15" i="33"/>
  <c r="O11" i="33"/>
  <c r="N18" i="33"/>
  <c r="U150" i="33"/>
  <c r="T164" i="33"/>
  <c r="Q137" i="33"/>
  <c r="R52" i="33"/>
  <c r="P86" i="33"/>
  <c r="O98" i="33"/>
  <c r="W129" i="33"/>
  <c r="X44" i="33"/>
  <c r="O135" i="33"/>
  <c r="P50" i="33"/>
  <c r="O47" i="33"/>
  <c r="AD134" i="33"/>
  <c r="AE115" i="33"/>
  <c r="AE134" i="33" s="1"/>
  <c r="L183" i="33"/>
  <c r="L192" i="33"/>
  <c r="H35" i="21" s="1"/>
  <c r="Z165" i="33"/>
  <c r="AA66" i="33"/>
  <c r="W14" i="21" s="1"/>
  <c r="R54" i="21"/>
  <c r="E63" i="21"/>
  <c r="E50" i="21"/>
  <c r="P46" i="21"/>
  <c r="F55" i="21"/>
  <c r="F47" i="21"/>
  <c r="F52" i="21"/>
  <c r="C59" i="21"/>
  <c r="C53" i="21" s="1"/>
  <c r="M183" i="33" l="1"/>
  <c r="O31" i="21"/>
  <c r="R309" i="33"/>
  <c r="L28" i="21"/>
  <c r="O311" i="33"/>
  <c r="Q26" i="21"/>
  <c r="K27" i="21"/>
  <c r="N310" i="33"/>
  <c r="J34" i="21"/>
  <c r="C24" i="20"/>
  <c r="I23" i="20"/>
  <c r="K23" i="20" s="1"/>
  <c r="E23" i="20"/>
  <c r="F24" i="20"/>
  <c r="H23" i="20"/>
  <c r="Q175" i="33"/>
  <c r="P197" i="33"/>
  <c r="P195" i="33"/>
  <c r="O171" i="33"/>
  <c r="O191" i="33" s="1"/>
  <c r="O185" i="33" s="1"/>
  <c r="S13" i="21"/>
  <c r="X65" i="33"/>
  <c r="AE166" i="33"/>
  <c r="AA15" i="21"/>
  <c r="N180" i="33"/>
  <c r="O56" i="33"/>
  <c r="O178" i="33" s="1"/>
  <c r="N315" i="33" s="1"/>
  <c r="K22" i="21"/>
  <c r="N184" i="33"/>
  <c r="N101" i="33"/>
  <c r="N189" i="33" s="1"/>
  <c r="N192" i="33" s="1"/>
  <c r="J35" i="21" s="1"/>
  <c r="O141" i="33"/>
  <c r="O190" i="33" s="1"/>
  <c r="O184" i="33" s="1"/>
  <c r="P95" i="33"/>
  <c r="P100" i="33"/>
  <c r="AA165" i="33"/>
  <c r="AB66" i="33"/>
  <c r="X14" i="21" s="1"/>
  <c r="X129" i="33"/>
  <c r="Y44" i="33"/>
  <c r="R137" i="33"/>
  <c r="S52" i="33"/>
  <c r="S163" i="33"/>
  <c r="T64" i="33"/>
  <c r="P12" i="21" s="1"/>
  <c r="W133" i="33"/>
  <c r="X114" i="33"/>
  <c r="Y131" i="33"/>
  <c r="Z46" i="33"/>
  <c r="O99" i="33"/>
  <c r="N27" i="33"/>
  <c r="N29" i="33" s="1"/>
  <c r="P23" i="33"/>
  <c r="L32" i="21" s="1"/>
  <c r="O30" i="33"/>
  <c r="O35" i="33"/>
  <c r="O177" i="33" s="1"/>
  <c r="Q97" i="33"/>
  <c r="R85" i="33"/>
  <c r="P162" i="33"/>
  <c r="Q63" i="33"/>
  <c r="M11" i="21" s="1"/>
  <c r="Q32" i="33"/>
  <c r="Q161" i="33"/>
  <c r="R62" i="33"/>
  <c r="N10" i="21" s="1"/>
  <c r="N60" i="21" s="1"/>
  <c r="O94" i="33"/>
  <c r="N15" i="33"/>
  <c r="P11" i="33"/>
  <c r="O18" i="33"/>
  <c r="Y140" i="33"/>
  <c r="Z55" i="33"/>
  <c r="Q127" i="33"/>
  <c r="R42" i="33"/>
  <c r="Q81" i="33"/>
  <c r="P93" i="33"/>
  <c r="R159" i="33"/>
  <c r="L198" i="33"/>
  <c r="H37" i="21" s="1"/>
  <c r="L196" i="33"/>
  <c r="H36" i="21" s="1"/>
  <c r="L186" i="33"/>
  <c r="P135" i="33"/>
  <c r="Q50" i="33"/>
  <c r="P47" i="33"/>
  <c r="L22" i="21" s="1"/>
  <c r="M33" i="33"/>
  <c r="M34" i="33" s="1"/>
  <c r="M17" i="33"/>
  <c r="P160" i="33"/>
  <c r="Q61" i="33"/>
  <c r="M9" i="21" s="1"/>
  <c r="P72" i="33"/>
  <c r="P179" i="33" s="1"/>
  <c r="O314" i="33" s="1"/>
  <c r="Q136" i="33"/>
  <c r="R51" i="33"/>
  <c r="AD159" i="33"/>
  <c r="AE145" i="33"/>
  <c r="AE159" i="33" s="1"/>
  <c r="P128" i="33"/>
  <c r="P141" i="33" s="1"/>
  <c r="P190" i="33" s="1"/>
  <c r="Q43" i="33"/>
  <c r="S125" i="33"/>
  <c r="T106" i="33"/>
  <c r="V5" i="33"/>
  <c r="X138" i="33"/>
  <c r="Y53" i="33"/>
  <c r="Q92" i="33"/>
  <c r="R80" i="33"/>
  <c r="Q86" i="33"/>
  <c r="P98" i="33"/>
  <c r="V150" i="33"/>
  <c r="U164" i="33"/>
  <c r="AB126" i="33"/>
  <c r="AC107" i="33"/>
  <c r="P56" i="33"/>
  <c r="P178" i="33" s="1"/>
  <c r="O315" i="33" s="1"/>
  <c r="P16" i="33"/>
  <c r="Q12" i="33" s="1"/>
  <c r="P28" i="33"/>
  <c r="Q24" i="33" s="1"/>
  <c r="M33" i="21" s="1"/>
  <c r="S134" i="33"/>
  <c r="T14" i="33"/>
  <c r="V10" i="33"/>
  <c r="R26" i="33"/>
  <c r="T22" i="33"/>
  <c r="M198" i="33"/>
  <c r="I37" i="21" s="1"/>
  <c r="M196" i="33"/>
  <c r="I36" i="21" s="1"/>
  <c r="M186" i="33"/>
  <c r="S54" i="21"/>
  <c r="G47" i="21"/>
  <c r="C51" i="21"/>
  <c r="D68" i="21"/>
  <c r="P62" i="21"/>
  <c r="F63" i="21"/>
  <c r="G55" i="21"/>
  <c r="E66" i="21"/>
  <c r="Q46" i="21"/>
  <c r="D59" i="21"/>
  <c r="G52" i="21"/>
  <c r="O180" i="33" l="1"/>
  <c r="P31" i="21"/>
  <c r="S309" i="33"/>
  <c r="K34" i="21"/>
  <c r="R26" i="21"/>
  <c r="M28" i="21"/>
  <c r="P311" i="33"/>
  <c r="L27" i="21"/>
  <c r="L34" i="21" s="1"/>
  <c r="O310" i="33"/>
  <c r="C25" i="20"/>
  <c r="I24" i="20"/>
  <c r="K24" i="20" s="1"/>
  <c r="E24" i="20"/>
  <c r="F25" i="20"/>
  <c r="H24" i="20"/>
  <c r="R175" i="33"/>
  <c r="Q197" i="33"/>
  <c r="Q195" i="33"/>
  <c r="T13" i="21"/>
  <c r="Y65" i="33"/>
  <c r="P171" i="33"/>
  <c r="P191" i="33" s="1"/>
  <c r="P185" i="33" s="1"/>
  <c r="P184" i="33"/>
  <c r="O101" i="33"/>
  <c r="O189" i="33" s="1"/>
  <c r="O183" i="33" s="1"/>
  <c r="E68" i="21"/>
  <c r="D53" i="21"/>
  <c r="N183" i="33"/>
  <c r="Q100" i="33"/>
  <c r="Q95" i="33"/>
  <c r="R32" i="33"/>
  <c r="AC126" i="33"/>
  <c r="AD107" i="33"/>
  <c r="W150" i="33"/>
  <c r="V164" i="33"/>
  <c r="T125" i="33"/>
  <c r="U106" i="33"/>
  <c r="R136" i="33"/>
  <c r="S51" i="33"/>
  <c r="S136" i="33" s="1"/>
  <c r="Q135" i="33"/>
  <c r="R50" i="33"/>
  <c r="Q47" i="33"/>
  <c r="M22" i="21" s="1"/>
  <c r="R81" i="33"/>
  <c r="Q93" i="33"/>
  <c r="Z140" i="33"/>
  <c r="AA55" i="33"/>
  <c r="W10" i="33"/>
  <c r="U14" i="33"/>
  <c r="S80" i="33"/>
  <c r="R92" i="33"/>
  <c r="W5" i="33"/>
  <c r="R127" i="33"/>
  <c r="S42" i="33"/>
  <c r="P94" i="33"/>
  <c r="O15" i="33"/>
  <c r="Q11" i="33"/>
  <c r="P18" i="33"/>
  <c r="R161" i="33"/>
  <c r="S62" i="33"/>
  <c r="O10" i="21" s="1"/>
  <c r="O60" i="21" s="1"/>
  <c r="Q162" i="33"/>
  <c r="R63" i="33"/>
  <c r="N11" i="21" s="1"/>
  <c r="X133" i="33"/>
  <c r="Y114" i="33"/>
  <c r="S137" i="33"/>
  <c r="T52" i="33"/>
  <c r="R86" i="33"/>
  <c r="Q98" i="33"/>
  <c r="Q128" i="33"/>
  <c r="R43" i="33"/>
  <c r="Q39" i="33"/>
  <c r="N33" i="33"/>
  <c r="N34" i="33" s="1"/>
  <c r="N17" i="33"/>
  <c r="AB165" i="33"/>
  <c r="AC66" i="33"/>
  <c r="Y14" i="21" s="1"/>
  <c r="S26" i="33"/>
  <c r="U22" i="33"/>
  <c r="Y138" i="33"/>
  <c r="Z53" i="33"/>
  <c r="Q160" i="33"/>
  <c r="R61" i="33"/>
  <c r="N9" i="21" s="1"/>
  <c r="Q72" i="33"/>
  <c r="Q179" i="33" s="1"/>
  <c r="P314" i="33" s="1"/>
  <c r="Q16" i="33"/>
  <c r="R12" i="33" s="1"/>
  <c r="Q28" i="33"/>
  <c r="R24" i="33" s="1"/>
  <c r="N33" i="21" s="1"/>
  <c r="S85" i="33"/>
  <c r="R97" i="33"/>
  <c r="P99" i="33"/>
  <c r="O27" i="33"/>
  <c r="O29" i="33" s="1"/>
  <c r="Q23" i="33"/>
  <c r="M32" i="21" s="1"/>
  <c r="P35" i="33"/>
  <c r="P177" i="33" s="1"/>
  <c r="P180" i="33" s="1"/>
  <c r="P30" i="33"/>
  <c r="Z131" i="33"/>
  <c r="AA46" i="33"/>
  <c r="T163" i="33"/>
  <c r="U64" i="33"/>
  <c r="Q12" i="21" s="1"/>
  <c r="Y129" i="33"/>
  <c r="Z44" i="33"/>
  <c r="N186" i="33"/>
  <c r="N196" i="33"/>
  <c r="J36" i="21" s="1"/>
  <c r="N198" i="33"/>
  <c r="J37" i="21" s="1"/>
  <c r="T54" i="21"/>
  <c r="Q62" i="21"/>
  <c r="G63" i="21"/>
  <c r="D51" i="21"/>
  <c r="R46" i="21"/>
  <c r="H55" i="21"/>
  <c r="C67" i="21"/>
  <c r="C61" i="21" s="1"/>
  <c r="C45" i="21"/>
  <c r="H47" i="21"/>
  <c r="E59" i="21"/>
  <c r="F51" i="21"/>
  <c r="Q31" i="21" l="1"/>
  <c r="T309" i="33"/>
  <c r="M27" i="21"/>
  <c r="P310" i="33"/>
  <c r="S26" i="21"/>
  <c r="N28" i="21"/>
  <c r="Q311" i="33"/>
  <c r="C26" i="20"/>
  <c r="I25" i="20"/>
  <c r="K25" i="20" s="1"/>
  <c r="E25" i="20"/>
  <c r="F26" i="20"/>
  <c r="H25" i="20"/>
  <c r="S175" i="33"/>
  <c r="R197" i="33"/>
  <c r="R195" i="33"/>
  <c r="Q141" i="33"/>
  <c r="Q190" i="33" s="1"/>
  <c r="O192" i="33"/>
  <c r="K35" i="21" s="1"/>
  <c r="U13" i="21"/>
  <c r="Z65" i="33"/>
  <c r="Q171" i="33"/>
  <c r="Q191" i="33" s="1"/>
  <c r="Q185" i="33" s="1"/>
  <c r="Q56" i="33"/>
  <c r="Q178" i="33" s="1"/>
  <c r="P315" i="33" s="1"/>
  <c r="M21" i="21"/>
  <c r="E53" i="21"/>
  <c r="R95" i="33"/>
  <c r="R100" i="33"/>
  <c r="AC165" i="33"/>
  <c r="AD66" i="33"/>
  <c r="Z14" i="21" s="1"/>
  <c r="T137" i="33"/>
  <c r="U52" i="33"/>
  <c r="T47" i="33"/>
  <c r="P22" i="21" s="1"/>
  <c r="R162" i="33"/>
  <c r="S63" i="33"/>
  <c r="O11" i="21" s="1"/>
  <c r="X10" i="33"/>
  <c r="V14" i="33"/>
  <c r="R135" i="33"/>
  <c r="S50" i="33"/>
  <c r="R47" i="33"/>
  <c r="N22" i="21" s="1"/>
  <c r="X150" i="33"/>
  <c r="W164" i="33"/>
  <c r="Z129" i="33"/>
  <c r="AA44" i="33"/>
  <c r="AA131" i="33"/>
  <c r="AB46" i="33"/>
  <c r="Q99" i="33"/>
  <c r="P27" i="33"/>
  <c r="P29" i="33" s="1"/>
  <c r="R23" i="33"/>
  <c r="N32" i="21" s="1"/>
  <c r="Q30" i="33"/>
  <c r="Q35" i="33"/>
  <c r="Q177" i="33" s="1"/>
  <c r="T85" i="33"/>
  <c r="S97" i="33"/>
  <c r="T26" i="33"/>
  <c r="V22" i="33"/>
  <c r="R128" i="33"/>
  <c r="S43" i="33"/>
  <c r="S86" i="33"/>
  <c r="R98" i="33"/>
  <c r="Q94" i="33"/>
  <c r="R11" i="33"/>
  <c r="P15" i="33"/>
  <c r="Q18" i="33"/>
  <c r="S127" i="33"/>
  <c r="T42" i="33"/>
  <c r="X5" i="33"/>
  <c r="T80" i="33"/>
  <c r="S92" i="33"/>
  <c r="U125" i="33"/>
  <c r="V106" i="33"/>
  <c r="AD126" i="33"/>
  <c r="AE107" i="33"/>
  <c r="AE126" i="33" s="1"/>
  <c r="Z138" i="33"/>
  <c r="AA53" i="33"/>
  <c r="Z47" i="33"/>
  <c r="V22" i="21" s="1"/>
  <c r="S32" i="33"/>
  <c r="Y133" i="33"/>
  <c r="Z114" i="33"/>
  <c r="S161" i="33"/>
  <c r="T62" i="33"/>
  <c r="P10" i="21" s="1"/>
  <c r="P60" i="21" s="1"/>
  <c r="O33" i="33"/>
  <c r="O34" i="33" s="1"/>
  <c r="O17" i="33"/>
  <c r="R39" i="33"/>
  <c r="S81" i="33"/>
  <c r="R93" i="33"/>
  <c r="U163" i="33"/>
  <c r="V64" i="33"/>
  <c r="R12" i="21" s="1"/>
  <c r="R160" i="33"/>
  <c r="S61" i="33"/>
  <c r="O9" i="21" s="1"/>
  <c r="R72" i="33"/>
  <c r="R179" i="33" s="1"/>
  <c r="Q314" i="33" s="1"/>
  <c r="P101" i="33"/>
  <c r="P189" i="33" s="1"/>
  <c r="AA140" i="33"/>
  <c r="AB55" i="33"/>
  <c r="R28" i="33"/>
  <c r="S24" i="33" s="1"/>
  <c r="O33" i="21" s="1"/>
  <c r="R16" i="33"/>
  <c r="S12" i="33" s="1"/>
  <c r="E51" i="21"/>
  <c r="I55" i="21"/>
  <c r="S46" i="21"/>
  <c r="F56" i="21"/>
  <c r="F58" i="21" s="1"/>
  <c r="I47" i="21"/>
  <c r="D67" i="21"/>
  <c r="D61" i="21" s="1"/>
  <c r="D45" i="21"/>
  <c r="H52" i="21"/>
  <c r="F48" i="21"/>
  <c r="F68" i="21"/>
  <c r="H63" i="21"/>
  <c r="R62" i="21"/>
  <c r="G68" i="21"/>
  <c r="G51" i="21"/>
  <c r="M34" i="21" l="1"/>
  <c r="R31" i="21"/>
  <c r="U309" i="33"/>
  <c r="T26" i="21"/>
  <c r="O28" i="21"/>
  <c r="R311" i="33"/>
  <c r="N27" i="21"/>
  <c r="Q310" i="33"/>
  <c r="C27" i="20"/>
  <c r="E26" i="20"/>
  <c r="I26" i="20"/>
  <c r="K26" i="20" s="1"/>
  <c r="F27" i="20"/>
  <c r="H26" i="20"/>
  <c r="T175" i="33"/>
  <c r="S195" i="33"/>
  <c r="S197" i="33"/>
  <c r="R141" i="33"/>
  <c r="R190" i="33" s="1"/>
  <c r="O198" i="33"/>
  <c r="K37" i="21" s="1"/>
  <c r="O186" i="33"/>
  <c r="O196" i="33"/>
  <c r="K36" i="21" s="1"/>
  <c r="R171" i="33"/>
  <c r="R191" i="33" s="1"/>
  <c r="R185" i="33" s="1"/>
  <c r="V13" i="21"/>
  <c r="AA65" i="33"/>
  <c r="Q184" i="33"/>
  <c r="Q180" i="33"/>
  <c r="R56" i="33"/>
  <c r="R178" i="33" s="1"/>
  <c r="Q315" i="33" s="1"/>
  <c r="N21" i="21"/>
  <c r="N34" i="21" s="1"/>
  <c r="Q101" i="33"/>
  <c r="Q189" i="33" s="1"/>
  <c r="Q192" i="33" s="1"/>
  <c r="M35" i="21" s="1"/>
  <c r="S95" i="33"/>
  <c r="S100" i="33"/>
  <c r="P192" i="33"/>
  <c r="L35" i="21" s="1"/>
  <c r="P183" i="33"/>
  <c r="V163" i="33"/>
  <c r="W64" i="33"/>
  <c r="S12" i="21" s="1"/>
  <c r="T81" i="33"/>
  <c r="S93" i="33"/>
  <c r="T161" i="33"/>
  <c r="U62" i="33"/>
  <c r="Q10" i="21" s="1"/>
  <c r="Q60" i="21" s="1"/>
  <c r="S16" i="33"/>
  <c r="T12" i="33" s="1"/>
  <c r="S28" i="33"/>
  <c r="T24" i="33" s="1"/>
  <c r="P33" i="21" s="1"/>
  <c r="Y5" i="33"/>
  <c r="S128" i="33"/>
  <c r="T43" i="33"/>
  <c r="T39" i="33" s="1"/>
  <c r="U85" i="33"/>
  <c r="T97" i="33"/>
  <c r="AA129" i="33"/>
  <c r="AB44" i="33"/>
  <c r="U137" i="33"/>
  <c r="V52" i="33"/>
  <c r="U47" i="33"/>
  <c r="Q22" i="21" s="1"/>
  <c r="AD165" i="33"/>
  <c r="AE66" i="33"/>
  <c r="U26" i="33"/>
  <c r="W22" i="33"/>
  <c r="S135" i="33"/>
  <c r="S47" i="33"/>
  <c r="O22" i="21" s="1"/>
  <c r="Y10" i="33"/>
  <c r="W14" i="33"/>
  <c r="S162" i="33"/>
  <c r="T63" i="33"/>
  <c r="P11" i="21" s="1"/>
  <c r="S160" i="33"/>
  <c r="S72" i="33"/>
  <c r="S179" i="33" s="1"/>
  <c r="R314" i="33" s="1"/>
  <c r="Z133" i="33"/>
  <c r="AA114" i="33"/>
  <c r="U80" i="33"/>
  <c r="T92" i="33"/>
  <c r="T127" i="33"/>
  <c r="U42" i="33"/>
  <c r="P33" i="33"/>
  <c r="P34" i="33" s="1"/>
  <c r="P17" i="33"/>
  <c r="T32" i="33"/>
  <c r="AB131" i="33"/>
  <c r="AC46" i="33"/>
  <c r="AB140" i="33"/>
  <c r="AC55" i="33"/>
  <c r="AA138" i="33"/>
  <c r="AB53" i="33"/>
  <c r="AA47" i="33"/>
  <c r="W22" i="21" s="1"/>
  <c r="V125" i="33"/>
  <c r="W106" i="33"/>
  <c r="S39" i="33"/>
  <c r="R94" i="33"/>
  <c r="Q15" i="33"/>
  <c r="S11" i="33"/>
  <c r="R18" i="33"/>
  <c r="T86" i="33"/>
  <c r="S98" i="33"/>
  <c r="R99" i="33"/>
  <c r="Q27" i="33"/>
  <c r="Q29" i="33" s="1"/>
  <c r="S23" i="33"/>
  <c r="O32" i="21" s="1"/>
  <c r="R35" i="33"/>
  <c r="R177" i="33" s="1"/>
  <c r="R30" i="33"/>
  <c r="Y150" i="33"/>
  <c r="X164" i="33"/>
  <c r="F59" i="21"/>
  <c r="E67" i="21"/>
  <c r="E61" i="21" s="1"/>
  <c r="E45" i="21"/>
  <c r="I52" i="21"/>
  <c r="F64" i="21"/>
  <c r="F50" i="21"/>
  <c r="I63" i="21"/>
  <c r="S62" i="21"/>
  <c r="T46" i="21"/>
  <c r="J47" i="21"/>
  <c r="J55" i="21"/>
  <c r="H59" i="21"/>
  <c r="J52" i="21"/>
  <c r="S141" i="33" l="1"/>
  <c r="S190" i="33" s="1"/>
  <c r="S31" i="21"/>
  <c r="V309" i="33"/>
  <c r="U26" i="21"/>
  <c r="O27" i="21"/>
  <c r="R310" i="33"/>
  <c r="P28" i="21"/>
  <c r="S311" i="33"/>
  <c r="F28" i="20"/>
  <c r="H27" i="20"/>
  <c r="C28" i="20"/>
  <c r="E27" i="20"/>
  <c r="I27" i="20"/>
  <c r="K27" i="20" s="1"/>
  <c r="T197" i="33"/>
  <c r="T195" i="33"/>
  <c r="AB275" i="33"/>
  <c r="U175" i="33"/>
  <c r="W13" i="21"/>
  <c r="AB65" i="33"/>
  <c r="AE165" i="33"/>
  <c r="AA14" i="21"/>
  <c r="R180" i="33"/>
  <c r="R184" i="33"/>
  <c r="S56" i="33"/>
  <c r="S178" i="33" s="1"/>
  <c r="R315" i="33" s="1"/>
  <c r="O21" i="21"/>
  <c r="O34" i="21" s="1"/>
  <c r="T56" i="33"/>
  <c r="T178" i="33" s="1"/>
  <c r="S315" i="33" s="1"/>
  <c r="P21" i="21"/>
  <c r="Q183" i="33"/>
  <c r="R101" i="33"/>
  <c r="R189" i="33" s="1"/>
  <c r="R192" i="33" s="1"/>
  <c r="N35" i="21" s="1"/>
  <c r="T100" i="33"/>
  <c r="Z150" i="33"/>
  <c r="Y164" i="33"/>
  <c r="U127" i="33"/>
  <c r="V42" i="33"/>
  <c r="AA133" i="33"/>
  <c r="AB114" i="33"/>
  <c r="T162" i="33"/>
  <c r="T171" i="33" s="1"/>
  <c r="T191" i="33" s="1"/>
  <c r="U63" i="33"/>
  <c r="Q11" i="21" s="1"/>
  <c r="X14" i="33"/>
  <c r="Z10" i="33"/>
  <c r="V26" i="33"/>
  <c r="X22" i="33"/>
  <c r="Q198" i="33"/>
  <c r="M37" i="21" s="1"/>
  <c r="Q196" i="33"/>
  <c r="M36" i="21" s="1"/>
  <c r="Q186" i="33"/>
  <c r="T95" i="33"/>
  <c r="S94" i="33"/>
  <c r="R15" i="33"/>
  <c r="T11" i="33"/>
  <c r="S18" i="33"/>
  <c r="AB138" i="33"/>
  <c r="AB47" i="33"/>
  <c r="X22" i="21" s="1"/>
  <c r="AC53" i="33"/>
  <c r="AC140" i="33"/>
  <c r="AD55" i="33"/>
  <c r="AC131" i="33"/>
  <c r="AD46" i="33"/>
  <c r="U32" i="33"/>
  <c r="T128" i="33"/>
  <c r="T141" i="33" s="1"/>
  <c r="T190" i="33" s="1"/>
  <c r="U43" i="33"/>
  <c r="U39" i="33" s="1"/>
  <c r="U161" i="33"/>
  <c r="V62" i="33"/>
  <c r="R10" i="21" s="1"/>
  <c r="R60" i="21" s="1"/>
  <c r="U81" i="33"/>
  <c r="T93" i="33"/>
  <c r="P198" i="33"/>
  <c r="L37" i="21" s="1"/>
  <c r="P196" i="33"/>
  <c r="L36" i="21" s="1"/>
  <c r="P186" i="33"/>
  <c r="Q33" i="33"/>
  <c r="Q34" i="33" s="1"/>
  <c r="Q17" i="33"/>
  <c r="W125" i="33"/>
  <c r="X106" i="33"/>
  <c r="V85" i="33"/>
  <c r="U97" i="33"/>
  <c r="Z5" i="33"/>
  <c r="T72" i="33"/>
  <c r="T179" i="33" s="1"/>
  <c r="S314" i="33" s="1"/>
  <c r="W163" i="33"/>
  <c r="X64" i="33"/>
  <c r="T12" i="21" s="1"/>
  <c r="S99" i="33"/>
  <c r="R27" i="33"/>
  <c r="R29" i="33" s="1"/>
  <c r="T23" i="33"/>
  <c r="P32" i="21" s="1"/>
  <c r="S35" i="33"/>
  <c r="S177" i="33" s="1"/>
  <c r="S30" i="33"/>
  <c r="U86" i="33"/>
  <c r="T98" i="33"/>
  <c r="T16" i="33"/>
  <c r="U12" i="33" s="1"/>
  <c r="T28" i="33"/>
  <c r="U24" i="33" s="1"/>
  <c r="Q33" i="21" s="1"/>
  <c r="V80" i="33"/>
  <c r="U92" i="33"/>
  <c r="S171" i="33"/>
  <c r="S191" i="33" s="1"/>
  <c r="S185" i="33" s="1"/>
  <c r="V137" i="33"/>
  <c r="W52" i="33"/>
  <c r="V47" i="33"/>
  <c r="R22" i="21" s="1"/>
  <c r="AB129" i="33"/>
  <c r="AC44" i="33"/>
  <c r="AB39" i="33"/>
  <c r="K55" i="21"/>
  <c r="H49" i="21"/>
  <c r="H68" i="21"/>
  <c r="G59" i="21"/>
  <c r="G67" i="21" s="1"/>
  <c r="K47" i="21"/>
  <c r="T62" i="21"/>
  <c r="F45" i="21"/>
  <c r="F66" i="21"/>
  <c r="G48" i="21"/>
  <c r="J63" i="21"/>
  <c r="H57" i="21"/>
  <c r="G56" i="21"/>
  <c r="G58" i="21" s="1"/>
  <c r="F67" i="21"/>
  <c r="F53" i="21"/>
  <c r="I59" i="21"/>
  <c r="K52" i="21"/>
  <c r="D29" i="10"/>
  <c r="S184" i="33" l="1"/>
  <c r="T31" i="21"/>
  <c r="W309" i="33"/>
  <c r="Q28" i="21"/>
  <c r="T311" i="33"/>
  <c r="V26" i="21"/>
  <c r="P27" i="21"/>
  <c r="S310" i="33"/>
  <c r="C29" i="20"/>
  <c r="I28" i="20"/>
  <c r="K28" i="20" s="1"/>
  <c r="E28" i="20"/>
  <c r="F29" i="20"/>
  <c r="H28" i="20"/>
  <c r="U197" i="33"/>
  <c r="U195" i="33"/>
  <c r="V175" i="33"/>
  <c r="AC275" i="33"/>
  <c r="T185" i="33"/>
  <c r="X13" i="21"/>
  <c r="AC65" i="33"/>
  <c r="U72" i="33"/>
  <c r="U179" i="33" s="1"/>
  <c r="T314" i="33" s="1"/>
  <c r="S180" i="33"/>
  <c r="P34" i="21"/>
  <c r="T184" i="33"/>
  <c r="AB56" i="33"/>
  <c r="AB178" i="33" s="1"/>
  <c r="AA315" i="33" s="1"/>
  <c r="X21" i="21"/>
  <c r="U56" i="33"/>
  <c r="U178" i="33" s="1"/>
  <c r="T315" i="33" s="1"/>
  <c r="Q21" i="21"/>
  <c r="R183" i="33"/>
  <c r="I68" i="21"/>
  <c r="F61" i="21"/>
  <c r="U95" i="33"/>
  <c r="U100" i="33"/>
  <c r="W137" i="33"/>
  <c r="X52" i="33"/>
  <c r="W47" i="33"/>
  <c r="S22" i="21" s="1"/>
  <c r="X163" i="33"/>
  <c r="Y64" i="33"/>
  <c r="U12" i="21" s="1"/>
  <c r="AD140" i="33"/>
  <c r="AE55" i="33"/>
  <c r="AE140" i="33" s="1"/>
  <c r="S101" i="33"/>
  <c r="S189" i="33" s="1"/>
  <c r="V32" i="33"/>
  <c r="AC129" i="33"/>
  <c r="AD44" i="33"/>
  <c r="AC39" i="33"/>
  <c r="Y21" i="21" s="1"/>
  <c r="T99" i="33"/>
  <c r="S27" i="33"/>
  <c r="S29" i="33" s="1"/>
  <c r="U23" i="33"/>
  <c r="Q32" i="21" s="1"/>
  <c r="T35" i="33"/>
  <c r="T177" i="33" s="1"/>
  <c r="T180" i="33" s="1"/>
  <c r="T30" i="33"/>
  <c r="X125" i="33"/>
  <c r="Y106" i="33"/>
  <c r="V81" i="33"/>
  <c r="U93" i="33"/>
  <c r="U128" i="33"/>
  <c r="V43" i="33"/>
  <c r="V39" i="33" s="1"/>
  <c r="AB133" i="33"/>
  <c r="AC114" i="33"/>
  <c r="U141" i="33"/>
  <c r="U190" i="33" s="1"/>
  <c r="R198" i="33"/>
  <c r="N37" i="21" s="1"/>
  <c r="R186" i="33"/>
  <c r="R196" i="33"/>
  <c r="N36" i="21" s="1"/>
  <c r="W80" i="33"/>
  <c r="V92" i="33"/>
  <c r="V86" i="33"/>
  <c r="U98" i="33"/>
  <c r="V161" i="33"/>
  <c r="W62" i="33"/>
  <c r="S10" i="21" s="1"/>
  <c r="S60" i="21" s="1"/>
  <c r="AD131" i="33"/>
  <c r="AE46" i="33"/>
  <c r="AE131" i="33" s="1"/>
  <c r="AC138" i="33"/>
  <c r="AC47" i="33"/>
  <c r="Y22" i="21" s="1"/>
  <c r="AD53" i="33"/>
  <c r="T94" i="33"/>
  <c r="S15" i="33"/>
  <c r="U11" i="33"/>
  <c r="T18" i="33"/>
  <c r="AA10" i="33"/>
  <c r="Y14" i="33"/>
  <c r="AA5" i="33"/>
  <c r="W85" i="33"/>
  <c r="V97" i="33"/>
  <c r="U28" i="33"/>
  <c r="V24" i="33" s="1"/>
  <c r="R33" i="21" s="1"/>
  <c r="U16" i="33"/>
  <c r="V12" i="33" s="1"/>
  <c r="R33" i="33"/>
  <c r="R34" i="33" s="1"/>
  <c r="R17" i="33"/>
  <c r="W26" i="33"/>
  <c r="Y22" i="33"/>
  <c r="U162" i="33"/>
  <c r="U171" i="33" s="1"/>
  <c r="U191" i="33" s="1"/>
  <c r="V63" i="33"/>
  <c r="R11" i="21" s="1"/>
  <c r="V127" i="33"/>
  <c r="W42" i="33"/>
  <c r="AA150" i="33"/>
  <c r="Z164" i="33"/>
  <c r="K49" i="21"/>
  <c r="H51" i="21"/>
  <c r="H67" i="21" s="1"/>
  <c r="G64" i="21"/>
  <c r="G50" i="21"/>
  <c r="I49" i="21"/>
  <c r="G53" i="21"/>
  <c r="K63" i="21"/>
  <c r="I57" i="21"/>
  <c r="L47" i="21"/>
  <c r="L57" i="21"/>
  <c r="H65" i="21"/>
  <c r="H56" i="21"/>
  <c r="H58" i="21" s="1"/>
  <c r="H53" i="21" s="1"/>
  <c r="H48" i="21"/>
  <c r="J59" i="21"/>
  <c r="U31" i="21" l="1"/>
  <c r="X309" i="33"/>
  <c r="W26" i="21"/>
  <c r="R28" i="21"/>
  <c r="U311" i="33"/>
  <c r="Q27" i="21"/>
  <c r="Q34" i="21" s="1"/>
  <c r="T310" i="33"/>
  <c r="C30" i="20"/>
  <c r="I29" i="20"/>
  <c r="K29" i="20" s="1"/>
  <c r="E29" i="20"/>
  <c r="F30" i="20"/>
  <c r="H29" i="20"/>
  <c r="V195" i="33"/>
  <c r="V197" i="33"/>
  <c r="AD275" i="33"/>
  <c r="W175" i="33"/>
  <c r="U185" i="33"/>
  <c r="Y13" i="21"/>
  <c r="AD65" i="33"/>
  <c r="U184" i="33"/>
  <c r="V56" i="33"/>
  <c r="V178" i="33" s="1"/>
  <c r="U315" i="33" s="1"/>
  <c r="R21" i="21"/>
  <c r="T101" i="33"/>
  <c r="T189" i="33" s="1"/>
  <c r="T183" i="33" s="1"/>
  <c r="L52" i="21"/>
  <c r="I65" i="21"/>
  <c r="V95" i="33"/>
  <c r="V100" i="33"/>
  <c r="W127" i="33"/>
  <c r="X42" i="33"/>
  <c r="AB5" i="33"/>
  <c r="AB10" i="33"/>
  <c r="Z14" i="33"/>
  <c r="X80" i="33"/>
  <c r="W92" i="33"/>
  <c r="W81" i="33"/>
  <c r="V93" i="33"/>
  <c r="V28" i="33"/>
  <c r="W24" i="33" s="1"/>
  <c r="S33" i="21" s="1"/>
  <c r="V16" i="33"/>
  <c r="W12" i="33" s="1"/>
  <c r="U94" i="33"/>
  <c r="V11" i="33"/>
  <c r="T15" i="33"/>
  <c r="U18" i="33"/>
  <c r="AD138" i="33"/>
  <c r="AE53" i="33"/>
  <c r="AD47" i="33"/>
  <c r="Z22" i="21" s="1"/>
  <c r="V128" i="33"/>
  <c r="V141" i="33" s="1"/>
  <c r="V190" i="33" s="1"/>
  <c r="W43" i="33"/>
  <c r="Y125" i="33"/>
  <c r="Z106" i="33"/>
  <c r="U99" i="33"/>
  <c r="T27" i="33"/>
  <c r="T29" i="33" s="1"/>
  <c r="V23" i="33"/>
  <c r="R32" i="21" s="1"/>
  <c r="U35" i="33"/>
  <c r="U177" i="33" s="1"/>
  <c r="U180" i="33" s="1"/>
  <c r="U30" i="33"/>
  <c r="AC56" i="33"/>
  <c r="AC178" i="33" s="1"/>
  <c r="AB315" i="33" s="1"/>
  <c r="X137" i="33"/>
  <c r="Y52" i="33"/>
  <c r="X47" i="33"/>
  <c r="T22" i="21" s="1"/>
  <c r="X26" i="33"/>
  <c r="Z22" i="33"/>
  <c r="S33" i="33"/>
  <c r="S34" i="33" s="1"/>
  <c r="S17" i="33"/>
  <c r="W161" i="33"/>
  <c r="X62" i="33"/>
  <c r="T10" i="21" s="1"/>
  <c r="T60" i="21" s="1"/>
  <c r="AD129" i="33"/>
  <c r="AE44" i="33"/>
  <c r="AD39" i="33"/>
  <c r="S192" i="33"/>
  <c r="O35" i="21" s="1"/>
  <c r="S183" i="33"/>
  <c r="Y163" i="33"/>
  <c r="Z64" i="33"/>
  <c r="V12" i="21" s="1"/>
  <c r="V60" i="21" s="1"/>
  <c r="AB150" i="33"/>
  <c r="AA164" i="33"/>
  <c r="V162" i="33"/>
  <c r="V171" i="33" s="1"/>
  <c r="V191" i="33" s="1"/>
  <c r="W63" i="33"/>
  <c r="S11" i="21" s="1"/>
  <c r="W32" i="33"/>
  <c r="X85" i="33"/>
  <c r="W97" i="33"/>
  <c r="V72" i="33"/>
  <c r="V179" i="33" s="1"/>
  <c r="U314" i="33" s="1"/>
  <c r="W86" i="33"/>
  <c r="V98" i="33"/>
  <c r="AC133" i="33"/>
  <c r="AD114" i="33"/>
  <c r="K57" i="21"/>
  <c r="K65" i="21" s="1"/>
  <c r="I51" i="21"/>
  <c r="I67" i="21" s="1"/>
  <c r="L49" i="21"/>
  <c r="L65" i="21" s="1"/>
  <c r="L55" i="21"/>
  <c r="L63" i="21" s="1"/>
  <c r="J68" i="21"/>
  <c r="J49" i="21"/>
  <c r="H64" i="21"/>
  <c r="H50" i="21"/>
  <c r="J57" i="21"/>
  <c r="G45" i="21"/>
  <c r="G66" i="21"/>
  <c r="G61" i="21" s="1"/>
  <c r="I48" i="21"/>
  <c r="I56" i="21"/>
  <c r="I58" i="21" s="1"/>
  <c r="I53" i="21" s="1"/>
  <c r="M47" i="21"/>
  <c r="M49" i="21"/>
  <c r="V31" i="21" l="1"/>
  <c r="Y309" i="33"/>
  <c r="X26" i="21"/>
  <c r="S28" i="21"/>
  <c r="V311" i="33"/>
  <c r="R27" i="21"/>
  <c r="R34" i="21" s="1"/>
  <c r="U310" i="33"/>
  <c r="C31" i="20"/>
  <c r="I30" i="20"/>
  <c r="K30" i="20" s="1"/>
  <c r="E30" i="20"/>
  <c r="F31" i="20"/>
  <c r="H30" i="20"/>
  <c r="W195" i="33"/>
  <c r="W197" i="33"/>
  <c r="X175" i="33"/>
  <c r="AE275" i="33"/>
  <c r="V185" i="33"/>
  <c r="Z13" i="21"/>
  <c r="Z60" i="21" s="1"/>
  <c r="AD72" i="33"/>
  <c r="AD179" i="33" s="1"/>
  <c r="AC314" i="33" s="1"/>
  <c r="AE65" i="33"/>
  <c r="T192" i="33"/>
  <c r="P35" i="21" s="1"/>
  <c r="V184" i="33"/>
  <c r="AD56" i="33"/>
  <c r="AD178" i="33" s="1"/>
  <c r="AC315" i="33" s="1"/>
  <c r="Z21" i="21"/>
  <c r="J65" i="21"/>
  <c r="W100" i="33"/>
  <c r="AD133" i="33"/>
  <c r="AE114" i="33"/>
  <c r="AE133" i="33" s="1"/>
  <c r="X86" i="33"/>
  <c r="W98" i="33"/>
  <c r="W16" i="33"/>
  <c r="X12" i="33" s="1"/>
  <c r="W28" i="33"/>
  <c r="X24" i="33" s="1"/>
  <c r="T33" i="21" s="1"/>
  <c r="V99" i="33"/>
  <c r="U27" i="33"/>
  <c r="U29" i="33" s="1"/>
  <c r="W23" i="33"/>
  <c r="S32" i="21" s="1"/>
  <c r="V35" i="33"/>
  <c r="V177" i="33" s="1"/>
  <c r="V180" i="33" s="1"/>
  <c r="V30" i="33"/>
  <c r="AE138" i="33"/>
  <c r="AE47" i="33"/>
  <c r="AA22" i="21" s="1"/>
  <c r="V94" i="33"/>
  <c r="U15" i="33"/>
  <c r="W11" i="33"/>
  <c r="V18" i="33"/>
  <c r="X127" i="33"/>
  <c r="Y42" i="33"/>
  <c r="AC150" i="33"/>
  <c r="AB164" i="33"/>
  <c r="S196" i="33"/>
  <c r="O36" i="21" s="1"/>
  <c r="S198" i="33"/>
  <c r="O37" i="21" s="1"/>
  <c r="S186" i="33"/>
  <c r="W128" i="33"/>
  <c r="W141" i="33" s="1"/>
  <c r="W190" i="33" s="1"/>
  <c r="X43" i="33"/>
  <c r="X39" i="33" s="1"/>
  <c r="U101" i="33"/>
  <c r="U189" i="33" s="1"/>
  <c r="Y80" i="33"/>
  <c r="X92" i="33"/>
  <c r="W39" i="33"/>
  <c r="W95" i="33"/>
  <c r="W162" i="33"/>
  <c r="W171" i="33" s="1"/>
  <c r="W191" i="33" s="1"/>
  <c r="X63" i="33"/>
  <c r="T11" i="21" s="1"/>
  <c r="Z163" i="33"/>
  <c r="AA64" i="33"/>
  <c r="W12" i="21" s="1"/>
  <c r="W60" i="21" s="1"/>
  <c r="X161" i="33"/>
  <c r="Y62" i="33"/>
  <c r="U10" i="21" s="1"/>
  <c r="U60" i="21" s="1"/>
  <c r="Y26" i="33"/>
  <c r="AA22" i="33"/>
  <c r="AC10" i="33"/>
  <c r="AA14" i="33"/>
  <c r="AC5" i="33"/>
  <c r="Y85" i="33"/>
  <c r="X97" i="33"/>
  <c r="AE129" i="33"/>
  <c r="AE39" i="33"/>
  <c r="W72" i="33"/>
  <c r="W179" i="33" s="1"/>
  <c r="V314" i="33" s="1"/>
  <c r="X32" i="33"/>
  <c r="Y137" i="33"/>
  <c r="Y47" i="33"/>
  <c r="U22" i="21" s="1"/>
  <c r="Z125" i="33"/>
  <c r="AA106" i="33"/>
  <c r="T33" i="33"/>
  <c r="T34" i="33" s="1"/>
  <c r="T17" i="33"/>
  <c r="X81" i="33"/>
  <c r="W93" i="33"/>
  <c r="M52" i="21"/>
  <c r="K68" i="21"/>
  <c r="M57" i="21"/>
  <c r="M65" i="21" s="1"/>
  <c r="J48" i="21"/>
  <c r="I64" i="21"/>
  <c r="I50" i="21"/>
  <c r="K59" i="21"/>
  <c r="J51" i="21"/>
  <c r="J67" i="21" s="1"/>
  <c r="N47" i="21"/>
  <c r="N57" i="21"/>
  <c r="J56" i="21"/>
  <c r="J58" i="21" s="1"/>
  <c r="J53" i="21" s="1"/>
  <c r="H45" i="21"/>
  <c r="H66" i="21"/>
  <c r="H61" i="21" s="1"/>
  <c r="M55" i="21"/>
  <c r="M63" i="21" s="1"/>
  <c r="W31" i="21" l="1"/>
  <c r="Z309" i="33"/>
  <c r="T28" i="21"/>
  <c r="W311" i="33"/>
  <c r="Y26" i="21"/>
  <c r="S27" i="21"/>
  <c r="V310" i="33"/>
  <c r="C32" i="20"/>
  <c r="I31" i="20"/>
  <c r="K31" i="20" s="1"/>
  <c r="E31" i="20"/>
  <c r="F32" i="20"/>
  <c r="H31" i="20"/>
  <c r="X197" i="33"/>
  <c r="X195" i="33"/>
  <c r="AF275" i="33"/>
  <c r="Y175" i="33"/>
  <c r="T196" i="33"/>
  <c r="P36" i="21" s="1"/>
  <c r="T186" i="33"/>
  <c r="W185" i="33"/>
  <c r="AA13" i="21"/>
  <c r="AA60" i="21" s="1"/>
  <c r="AE72" i="33"/>
  <c r="AE179" i="33" s="1"/>
  <c r="AD314" i="33" s="1"/>
  <c r="T198" i="33"/>
  <c r="P37" i="21" s="1"/>
  <c r="X72" i="33"/>
  <c r="X179" i="33" s="1"/>
  <c r="W314" i="33" s="1"/>
  <c r="W56" i="33"/>
  <c r="W178" i="33" s="1"/>
  <c r="V315" i="33" s="1"/>
  <c r="S21" i="21"/>
  <c r="AE56" i="33"/>
  <c r="AE178" i="33" s="1"/>
  <c r="AD315" i="33" s="1"/>
  <c r="AA21" i="21"/>
  <c r="X56" i="33"/>
  <c r="X178" i="33" s="1"/>
  <c r="W315" i="33" s="1"/>
  <c r="T21" i="21"/>
  <c r="L68" i="21"/>
  <c r="V101" i="33"/>
  <c r="V189" i="33" s="1"/>
  <c r="V183" i="33" s="1"/>
  <c r="X100" i="33"/>
  <c r="Y97" i="33"/>
  <c r="Z85" i="33"/>
  <c r="Y32" i="33"/>
  <c r="Y92" i="33"/>
  <c r="Z80" i="33"/>
  <c r="AD150" i="33"/>
  <c r="AC164" i="33"/>
  <c r="AD5" i="33"/>
  <c r="AB14" i="33"/>
  <c r="AD10" i="33"/>
  <c r="Z26" i="33"/>
  <c r="AB22" i="33"/>
  <c r="AA163" i="33"/>
  <c r="AA171" i="33" s="1"/>
  <c r="AA191" i="33" s="1"/>
  <c r="AA72" i="33"/>
  <c r="AA179" i="33" s="1"/>
  <c r="Z314" i="33" s="1"/>
  <c r="AB64" i="33"/>
  <c r="X12" i="21" s="1"/>
  <c r="X60" i="21" s="1"/>
  <c r="X95" i="33"/>
  <c r="U192" i="33"/>
  <c r="Q35" i="21" s="1"/>
  <c r="U183" i="33"/>
  <c r="AA125" i="33"/>
  <c r="AB106" i="33"/>
  <c r="X16" i="33"/>
  <c r="Y12" i="33" s="1"/>
  <c r="X28" i="33"/>
  <c r="Y24" i="33" s="1"/>
  <c r="U33" i="21" s="1"/>
  <c r="X128" i="33"/>
  <c r="X141" i="33" s="1"/>
  <c r="X190" i="33" s="1"/>
  <c r="Y43" i="33"/>
  <c r="Y127" i="33"/>
  <c r="W94" i="33"/>
  <c r="V15" i="33"/>
  <c r="X11" i="33"/>
  <c r="W18" i="33"/>
  <c r="Y81" i="33"/>
  <c r="X93" i="33"/>
  <c r="Y161" i="33"/>
  <c r="X162" i="33"/>
  <c r="X171" i="33" s="1"/>
  <c r="X191" i="33" s="1"/>
  <c r="Y63" i="33"/>
  <c r="U11" i="21" s="1"/>
  <c r="U33" i="33"/>
  <c r="U34" i="33" s="1"/>
  <c r="U17" i="33"/>
  <c r="W99" i="33"/>
  <c r="V27" i="33"/>
  <c r="V29" i="33" s="1"/>
  <c r="X23" i="33"/>
  <c r="T32" i="21" s="1"/>
  <c r="W35" i="33"/>
  <c r="W177" i="33" s="1"/>
  <c r="W30" i="33"/>
  <c r="Y86" i="33"/>
  <c r="X98" i="33"/>
  <c r="N49" i="21"/>
  <c r="N65" i="21" s="1"/>
  <c r="O47" i="21"/>
  <c r="J64" i="21"/>
  <c r="J50" i="21"/>
  <c r="K51" i="21"/>
  <c r="K67" i="21" s="1"/>
  <c r="N55" i="21"/>
  <c r="N63" i="21" s="1"/>
  <c r="I45" i="21"/>
  <c r="I66" i="21"/>
  <c r="I61" i="21" s="1"/>
  <c r="N52" i="21"/>
  <c r="K48" i="21"/>
  <c r="K56" i="21"/>
  <c r="K58" i="21" s="1"/>
  <c r="K53" i="21" s="1"/>
  <c r="M59" i="21"/>
  <c r="O52" i="21"/>
  <c r="L59" i="21"/>
  <c r="X185" i="33" l="1"/>
  <c r="X31" i="21"/>
  <c r="AA309" i="33"/>
  <c r="S34" i="21"/>
  <c r="U28" i="21"/>
  <c r="X311" i="33"/>
  <c r="T27" i="21"/>
  <c r="T34" i="21" s="1"/>
  <c r="W310" i="33"/>
  <c r="Z26" i="21"/>
  <c r="C33" i="20"/>
  <c r="E32" i="20"/>
  <c r="I32" i="20"/>
  <c r="K32" i="20" s="1"/>
  <c r="F33" i="20"/>
  <c r="H33" i="20" s="1"/>
  <c r="H32" i="20"/>
  <c r="Y197" i="33"/>
  <c r="Y195" i="33"/>
  <c r="AG275" i="33"/>
  <c r="Z175" i="33"/>
  <c r="W180" i="33"/>
  <c r="Y72" i="33"/>
  <c r="Y179" i="33" s="1"/>
  <c r="X314" i="33" s="1"/>
  <c r="W184" i="33"/>
  <c r="X184" i="33"/>
  <c r="V192" i="33"/>
  <c r="R35" i="21" s="1"/>
  <c r="W101" i="33"/>
  <c r="W189" i="33" s="1"/>
  <c r="W192" i="33" s="1"/>
  <c r="S35" i="21" s="1"/>
  <c r="Y100" i="33"/>
  <c r="Y95" i="33"/>
  <c r="X99" i="33"/>
  <c r="W27" i="33"/>
  <c r="W29" i="33" s="1"/>
  <c r="Y23" i="33"/>
  <c r="U32" i="21" s="1"/>
  <c r="X35" i="33"/>
  <c r="X177" i="33" s="1"/>
  <c r="X180" i="33" s="1"/>
  <c r="X30" i="33"/>
  <c r="V33" i="33"/>
  <c r="V34" i="33" s="1"/>
  <c r="V17" i="33"/>
  <c r="AA26" i="33"/>
  <c r="AC22" i="33"/>
  <c r="Z92" i="33"/>
  <c r="AA80" i="33"/>
  <c r="Z86" i="33"/>
  <c r="Y98" i="33"/>
  <c r="Z81" i="33"/>
  <c r="Y93" i="33"/>
  <c r="Y128" i="33"/>
  <c r="Y141" i="33" s="1"/>
  <c r="Y190" i="33" s="1"/>
  <c r="Z43" i="33"/>
  <c r="U198" i="33"/>
  <c r="Q37" i="21" s="1"/>
  <c r="U196" i="33"/>
  <c r="Q36" i="21" s="1"/>
  <c r="U186" i="33"/>
  <c r="AB163" i="33"/>
  <c r="AB171" i="33" s="1"/>
  <c r="AB191" i="33" s="1"/>
  <c r="AB72" i="33"/>
  <c r="AB179" i="33" s="1"/>
  <c r="AA314" i="33" s="1"/>
  <c r="AC64" i="33"/>
  <c r="Y12" i="21" s="1"/>
  <c r="Y60" i="21" s="1"/>
  <c r="Z32" i="33"/>
  <c r="AD14" i="33"/>
  <c r="AC14" i="33"/>
  <c r="AE5" i="33"/>
  <c r="AB125" i="33"/>
  <c r="AB141" i="33" s="1"/>
  <c r="AB190" i="33" s="1"/>
  <c r="AB184" i="33" s="1"/>
  <c r="AC106" i="33"/>
  <c r="Y162" i="33"/>
  <c r="Y171" i="33" s="1"/>
  <c r="Y191" i="33" s="1"/>
  <c r="Y185" i="33" s="1"/>
  <c r="Z63" i="33"/>
  <c r="V11" i="21" s="1"/>
  <c r="X94" i="33"/>
  <c r="W15" i="33"/>
  <c r="Y11" i="33"/>
  <c r="X18" i="33"/>
  <c r="Y39" i="33"/>
  <c r="AA185" i="33"/>
  <c r="AE150" i="33"/>
  <c r="AE164" i="33" s="1"/>
  <c r="AE171" i="33" s="1"/>
  <c r="AE191" i="33" s="1"/>
  <c r="AE185" i="33" s="1"/>
  <c r="AD164" i="33"/>
  <c r="AD171" i="33" s="1"/>
  <c r="AD191" i="33" s="1"/>
  <c r="AD185" i="33" s="1"/>
  <c r="Y28" i="33"/>
  <c r="Z24" i="33" s="1"/>
  <c r="V33" i="21" s="1"/>
  <c r="Y16" i="33"/>
  <c r="Z12" i="33" s="1"/>
  <c r="Z97" i="33"/>
  <c r="AA85" i="33"/>
  <c r="M68" i="21"/>
  <c r="L48" i="21"/>
  <c r="O55" i="21"/>
  <c r="O63" i="21" s="1"/>
  <c r="J66" i="21"/>
  <c r="J61" i="21" s="1"/>
  <c r="J45" i="21"/>
  <c r="K64" i="21"/>
  <c r="K50" i="21"/>
  <c r="L51" i="21"/>
  <c r="L67" i="21" s="1"/>
  <c r="P47" i="21"/>
  <c r="W52" i="21"/>
  <c r="P52" i="21"/>
  <c r="Y31" i="21" l="1"/>
  <c r="AB309" i="33"/>
  <c r="V196" i="33"/>
  <c r="R36" i="21" s="1"/>
  <c r="U27" i="21"/>
  <c r="U34" i="21" s="1"/>
  <c r="X310" i="33"/>
  <c r="V28" i="21"/>
  <c r="Y311" i="33"/>
  <c r="I33" i="20"/>
  <c r="K33" i="20" s="1"/>
  <c r="E33" i="20"/>
  <c r="AH275" i="33"/>
  <c r="Z197" i="33"/>
  <c r="Z195" i="33"/>
  <c r="AB185" i="33"/>
  <c r="Y56" i="33"/>
  <c r="Y178" i="33" s="1"/>
  <c r="X315" i="33" s="1"/>
  <c r="U21" i="21"/>
  <c r="V198" i="33"/>
  <c r="R37" i="21" s="1"/>
  <c r="V186" i="33"/>
  <c r="W183" i="33"/>
  <c r="N68" i="21"/>
  <c r="X101" i="33"/>
  <c r="X189" i="33" s="1"/>
  <c r="X192" i="33" s="1"/>
  <c r="T35" i="21" s="1"/>
  <c r="Z95" i="33"/>
  <c r="Z100" i="33"/>
  <c r="Z28" i="33"/>
  <c r="AA24" i="33" s="1"/>
  <c r="W33" i="21" s="1"/>
  <c r="Z16" i="33"/>
  <c r="AA12" i="33" s="1"/>
  <c r="Z128" i="33"/>
  <c r="Z141" i="33" s="1"/>
  <c r="Z190" i="33" s="1"/>
  <c r="AA43" i="33"/>
  <c r="Z39" i="33"/>
  <c r="AA86" i="33"/>
  <c r="Z98" i="33"/>
  <c r="AB26" i="33"/>
  <c r="AD22" i="33"/>
  <c r="Y94" i="33"/>
  <c r="Z11" i="33"/>
  <c r="X15" i="33"/>
  <c r="Y18" i="33"/>
  <c r="Z162" i="33"/>
  <c r="Z171" i="33" s="1"/>
  <c r="Z191" i="33" s="1"/>
  <c r="Z72" i="33"/>
  <c r="Z179" i="33" s="1"/>
  <c r="Y314" i="33" s="1"/>
  <c r="AC125" i="33"/>
  <c r="AC141" i="33" s="1"/>
  <c r="AC190" i="33" s="1"/>
  <c r="AC184" i="33" s="1"/>
  <c r="AD106" i="33"/>
  <c r="AC163" i="33"/>
  <c r="AC171" i="33" s="1"/>
  <c r="AC191" i="33" s="1"/>
  <c r="AC72" i="33"/>
  <c r="AC179" i="33" s="1"/>
  <c r="AB314" i="33" s="1"/>
  <c r="AA92" i="33"/>
  <c r="AB80" i="33"/>
  <c r="AA32" i="33"/>
  <c r="Y99" i="33"/>
  <c r="X27" i="33"/>
  <c r="X29" i="33" s="1"/>
  <c r="Z23" i="33"/>
  <c r="V32" i="21" s="1"/>
  <c r="Y30" i="33"/>
  <c r="Y35" i="33"/>
  <c r="Y177" i="33" s="1"/>
  <c r="W196" i="33"/>
  <c r="S36" i="21" s="1"/>
  <c r="W198" i="33"/>
  <c r="S37" i="21" s="1"/>
  <c r="W186" i="33"/>
  <c r="AA97" i="33"/>
  <c r="AB85" i="33"/>
  <c r="W33" i="33"/>
  <c r="W34" i="33" s="1"/>
  <c r="W17" i="33"/>
  <c r="AA81" i="33"/>
  <c r="Z93" i="33"/>
  <c r="N59" i="21"/>
  <c r="L56" i="21"/>
  <c r="L58" i="21" s="1"/>
  <c r="L53" i="21" s="1"/>
  <c r="M51" i="21"/>
  <c r="M67" i="21" s="1"/>
  <c r="Q47" i="21"/>
  <c r="K66" i="21"/>
  <c r="K61" i="21" s="1"/>
  <c r="K45" i="21"/>
  <c r="M48" i="21"/>
  <c r="P55" i="21"/>
  <c r="P63" i="21" s="1"/>
  <c r="L50" i="21"/>
  <c r="Q52" i="21"/>
  <c r="O68" i="21"/>
  <c r="X52" i="21"/>
  <c r="O59" i="21"/>
  <c r="Z31" i="21" l="1"/>
  <c r="AC309" i="33"/>
  <c r="V27" i="21"/>
  <c r="Y310" i="33"/>
  <c r="W28" i="21"/>
  <c r="Z311" i="33"/>
  <c r="Z185" i="33"/>
  <c r="AC185" i="33"/>
  <c r="X183" i="33"/>
  <c r="Y180" i="33"/>
  <c r="Z56" i="33"/>
  <c r="Z178" i="33" s="1"/>
  <c r="Y315" i="33" s="1"/>
  <c r="V21" i="21"/>
  <c r="V34" i="21" s="1"/>
  <c r="Y184" i="33"/>
  <c r="L64" i="21"/>
  <c r="AA95" i="33"/>
  <c r="AA100" i="33"/>
  <c r="AB81" i="33"/>
  <c r="AA93" i="33"/>
  <c r="AB97" i="33"/>
  <c r="AC85" i="33"/>
  <c r="AB92" i="33"/>
  <c r="AC80" i="33"/>
  <c r="Z94" i="33"/>
  <c r="Y15" i="33"/>
  <c r="AA11" i="33"/>
  <c r="Z18" i="33"/>
  <c r="Y101" i="33"/>
  <c r="Y189" i="33" s="1"/>
  <c r="AC26" i="33"/>
  <c r="AD26" i="33"/>
  <c r="AB86" i="33"/>
  <c r="AA98" i="33"/>
  <c r="X196" i="33"/>
  <c r="T36" i="21" s="1"/>
  <c r="X186" i="33"/>
  <c r="X198" i="33"/>
  <c r="T37" i="21" s="1"/>
  <c r="AA28" i="33"/>
  <c r="AB24" i="33" s="1"/>
  <c r="X33" i="21" s="1"/>
  <c r="AA16" i="33"/>
  <c r="AB12" i="33" s="1"/>
  <c r="AD125" i="33"/>
  <c r="AD141" i="33" s="1"/>
  <c r="AD190" i="33" s="1"/>
  <c r="AD184" i="33" s="1"/>
  <c r="AE106" i="33"/>
  <c r="AE125" i="33" s="1"/>
  <c r="AE141" i="33" s="1"/>
  <c r="AE190" i="33" s="1"/>
  <c r="AE184" i="33" s="1"/>
  <c r="AB32" i="33"/>
  <c r="AA128" i="33"/>
  <c r="AA141" i="33" s="1"/>
  <c r="AA190" i="33" s="1"/>
  <c r="AA39" i="33"/>
  <c r="Z99" i="33"/>
  <c r="Y27" i="33"/>
  <c r="Y29" i="33" s="1"/>
  <c r="AA23" i="33"/>
  <c r="W32" i="21" s="1"/>
  <c r="Z30" i="33"/>
  <c r="Z35" i="33"/>
  <c r="Z177" i="33" s="1"/>
  <c r="X33" i="33"/>
  <c r="X34" i="33" s="1"/>
  <c r="X17" i="33"/>
  <c r="N48" i="21"/>
  <c r="M50" i="21"/>
  <c r="N51" i="21"/>
  <c r="N67" i="21" s="1"/>
  <c r="L45" i="21"/>
  <c r="L66" i="21"/>
  <c r="L61" i="21" s="1"/>
  <c r="O57" i="21"/>
  <c r="Q55" i="21"/>
  <c r="O49" i="21"/>
  <c r="M56" i="21"/>
  <c r="M58" i="21" s="1"/>
  <c r="M53" i="21" s="1"/>
  <c r="R47" i="21"/>
  <c r="P68" i="21"/>
  <c r="V59" i="21"/>
  <c r="Y52" i="21"/>
  <c r="R52" i="21"/>
  <c r="Z180" i="33" l="1"/>
  <c r="Z184" i="33"/>
  <c r="W27" i="21"/>
  <c r="Z310" i="33"/>
  <c r="X28" i="21"/>
  <c r="AA311" i="33"/>
  <c r="AA56" i="33"/>
  <c r="AA178" i="33" s="1"/>
  <c r="W21" i="21"/>
  <c r="W34" i="21" s="1"/>
  <c r="O65" i="21"/>
  <c r="AB95" i="33"/>
  <c r="AB100" i="33"/>
  <c r="Z101" i="33"/>
  <c r="Z189" i="33" s="1"/>
  <c r="AC97" i="33"/>
  <c r="AD85" i="33"/>
  <c r="AA99" i="33"/>
  <c r="Z27" i="33"/>
  <c r="Z29" i="33" s="1"/>
  <c r="AB23" i="33"/>
  <c r="X32" i="21" s="1"/>
  <c r="AA30" i="33"/>
  <c r="AA35" i="33"/>
  <c r="AA177" i="33" s="1"/>
  <c r="AC86" i="33"/>
  <c r="AB98" i="33"/>
  <c r="AC32" i="33"/>
  <c r="AB28" i="33"/>
  <c r="AC24" i="33" s="1"/>
  <c r="Y33" i="21" s="1"/>
  <c r="AB16" i="33"/>
  <c r="AC12" i="33" s="1"/>
  <c r="AA94" i="33"/>
  <c r="Z15" i="33"/>
  <c r="AB11" i="33"/>
  <c r="AA18" i="33"/>
  <c r="AC92" i="33"/>
  <c r="AD80" i="33"/>
  <c r="Y192" i="33"/>
  <c r="U35" i="21" s="1"/>
  <c r="Y183" i="33"/>
  <c r="Y33" i="33"/>
  <c r="Y34" i="33" s="1"/>
  <c r="Y17" i="33"/>
  <c r="AC81" i="33"/>
  <c r="AB93" i="33"/>
  <c r="R57" i="21"/>
  <c r="O51" i="21"/>
  <c r="O67" i="21" s="1"/>
  <c r="P49" i="21"/>
  <c r="Q63" i="21"/>
  <c r="M45" i="21"/>
  <c r="M66" i="21"/>
  <c r="M61" i="21" s="1"/>
  <c r="S47" i="21"/>
  <c r="M64" i="21"/>
  <c r="O48" i="21"/>
  <c r="O50" i="21" s="1"/>
  <c r="N56" i="21"/>
  <c r="N58" i="21" s="1"/>
  <c r="N53" i="21" s="1"/>
  <c r="P57" i="21"/>
  <c r="R55" i="21"/>
  <c r="N50" i="21"/>
  <c r="W59" i="21"/>
  <c r="P59" i="21"/>
  <c r="S52" i="21"/>
  <c r="Z52" i="21"/>
  <c r="Q68" i="21"/>
  <c r="C89" i="8"/>
  <c r="E85" i="8"/>
  <c r="D85" i="8"/>
  <c r="C85" i="8"/>
  <c r="D12" i="10"/>
  <c r="AA184" i="33" l="1"/>
  <c r="Z315" i="33"/>
  <c r="Y28" i="21"/>
  <c r="AB311" i="33"/>
  <c r="X27" i="21"/>
  <c r="AA310" i="33"/>
  <c r="AA180" i="33"/>
  <c r="AA101" i="33"/>
  <c r="AA189" i="33" s="1"/>
  <c r="AA183" i="33" s="1"/>
  <c r="X34" i="21"/>
  <c r="N64" i="21"/>
  <c r="P65" i="21"/>
  <c r="AC100" i="33"/>
  <c r="AC95" i="33"/>
  <c r="AD81" i="33"/>
  <c r="AC93" i="33"/>
  <c r="Y198" i="33"/>
  <c r="U37" i="21" s="1"/>
  <c r="Y196" i="33"/>
  <c r="U36" i="21" s="1"/>
  <c r="Y186" i="33"/>
  <c r="AB94" i="33"/>
  <c r="AA15" i="33"/>
  <c r="AC11" i="33"/>
  <c r="AB18" i="33"/>
  <c r="AD97" i="33"/>
  <c r="AE85" i="33"/>
  <c r="AE97" i="33" s="1"/>
  <c r="AD92" i="33"/>
  <c r="AE80" i="33"/>
  <c r="AE92" i="33" s="1"/>
  <c r="Z33" i="33"/>
  <c r="Z34" i="33" s="1"/>
  <c r="Z17" i="33"/>
  <c r="AD86" i="33"/>
  <c r="AC98" i="33"/>
  <c r="AB99" i="33"/>
  <c r="AA27" i="33"/>
  <c r="AA29" i="33" s="1"/>
  <c r="AC23" i="33"/>
  <c r="Y32" i="21" s="1"/>
  <c r="AB35" i="33"/>
  <c r="AB177" i="33" s="1"/>
  <c r="AB180" i="33" s="1"/>
  <c r="AB30" i="33"/>
  <c r="AC28" i="33"/>
  <c r="AD24" i="33" s="1"/>
  <c r="Z33" i="21" s="1"/>
  <c r="AC16" i="33"/>
  <c r="AD12" i="33" s="1"/>
  <c r="Z192" i="33"/>
  <c r="V35" i="21" s="1"/>
  <c r="Z183" i="33"/>
  <c r="P48" i="21"/>
  <c r="O45" i="21"/>
  <c r="Q57" i="21"/>
  <c r="Q49" i="21"/>
  <c r="R63" i="21"/>
  <c r="S55" i="21"/>
  <c r="S63" i="21" s="1"/>
  <c r="O56" i="21"/>
  <c r="P51" i="21"/>
  <c r="P67" i="21" s="1"/>
  <c r="N45" i="21"/>
  <c r="N66" i="21"/>
  <c r="N61" i="21" s="1"/>
  <c r="T47" i="21"/>
  <c r="D19" i="10"/>
  <c r="D22" i="10" s="1"/>
  <c r="R68" i="21"/>
  <c r="Q51" i="21"/>
  <c r="T52" i="21"/>
  <c r="Q59" i="21"/>
  <c r="X59" i="21"/>
  <c r="Z28" i="21" l="1"/>
  <c r="AC311" i="33"/>
  <c r="Y27" i="21"/>
  <c r="Y34" i="21" s="1"/>
  <c r="AB310" i="33"/>
  <c r="AA192" i="33"/>
  <c r="W35" i="21" s="1"/>
  <c r="Q65" i="21"/>
  <c r="AB101" i="33"/>
  <c r="AB189" i="33" s="1"/>
  <c r="AB192" i="33" s="1"/>
  <c r="X35" i="21" s="1"/>
  <c r="AD100" i="33"/>
  <c r="AD95" i="33"/>
  <c r="AC99" i="33"/>
  <c r="AB27" i="33"/>
  <c r="AB29" i="33" s="1"/>
  <c r="AD23" i="33"/>
  <c r="Z32" i="21" s="1"/>
  <c r="AC35" i="33"/>
  <c r="AC177" i="33" s="1"/>
  <c r="AC180" i="33" s="1"/>
  <c r="AC30" i="33"/>
  <c r="AE86" i="33"/>
  <c r="AE98" i="33" s="1"/>
  <c r="AD98" i="33"/>
  <c r="AC94" i="33"/>
  <c r="AD11" i="33"/>
  <c r="AB15" i="33"/>
  <c r="AC18" i="33"/>
  <c r="AA33" i="33"/>
  <c r="AA34" i="33" s="1"/>
  <c r="AA17" i="33"/>
  <c r="AE81" i="33"/>
  <c r="AE93" i="33" s="1"/>
  <c r="AD93" i="33"/>
  <c r="Z186" i="33"/>
  <c r="Z196" i="33"/>
  <c r="V36" i="21" s="1"/>
  <c r="Z198" i="33"/>
  <c r="V37" i="21" s="1"/>
  <c r="R49" i="21"/>
  <c r="R65" i="21" s="1"/>
  <c r="AA52" i="21"/>
  <c r="U47" i="21"/>
  <c r="O64" i="21"/>
  <c r="O58" i="21"/>
  <c r="X51" i="21"/>
  <c r="X67" i="21" s="1"/>
  <c r="T49" i="21"/>
  <c r="Q67" i="21"/>
  <c r="P56" i="21"/>
  <c r="P58" i="21" s="1"/>
  <c r="P53" i="21" s="1"/>
  <c r="T55" i="21"/>
  <c r="Q48" i="21"/>
  <c r="P50" i="21"/>
  <c r="S68" i="21"/>
  <c r="R59" i="21"/>
  <c r="Z68" i="21"/>
  <c r="Y51" i="21"/>
  <c r="Y59" i="21"/>
  <c r="Z51" i="21"/>
  <c r="U52" i="21"/>
  <c r="AA196" i="33" l="1"/>
  <c r="W36" i="21" s="1"/>
  <c r="Z27" i="21"/>
  <c r="AC310" i="33"/>
  <c r="AA186" i="33"/>
  <c r="AA198" i="33"/>
  <c r="W37" i="21" s="1"/>
  <c r="Z34" i="21"/>
  <c r="P64" i="21"/>
  <c r="AB183" i="33"/>
  <c r="AC101" i="33"/>
  <c r="AC189" i="33" s="1"/>
  <c r="AC183" i="33" s="1"/>
  <c r="AB33" i="33"/>
  <c r="AB34" i="33" s="1"/>
  <c r="AB17" i="33"/>
  <c r="AD99" i="33"/>
  <c r="AC27" i="33"/>
  <c r="AC29" i="33" s="1"/>
  <c r="AE23" i="33"/>
  <c r="AA32" i="21" s="1"/>
  <c r="AD35" i="33"/>
  <c r="AD177" i="33" s="1"/>
  <c r="AD180" i="33" s="1"/>
  <c r="AD30" i="33"/>
  <c r="AD94" i="33"/>
  <c r="AC15" i="33"/>
  <c r="AE11" i="33"/>
  <c r="AD18" i="33"/>
  <c r="AB198" i="33"/>
  <c r="X37" i="21" s="1"/>
  <c r="AB196" i="33"/>
  <c r="X36" i="21" s="1"/>
  <c r="AB186" i="33"/>
  <c r="Y67" i="21"/>
  <c r="R48" i="21"/>
  <c r="Q50" i="21"/>
  <c r="Q56" i="21"/>
  <c r="Q58" i="21" s="1"/>
  <c r="Q53" i="21" s="1"/>
  <c r="R51" i="21"/>
  <c r="R67" i="21" s="1"/>
  <c r="P45" i="21"/>
  <c r="P66" i="21"/>
  <c r="P61" i="21" s="1"/>
  <c r="S49" i="21"/>
  <c r="U55" i="21"/>
  <c r="U63" i="21" s="1"/>
  <c r="O53" i="21"/>
  <c r="O66" i="21"/>
  <c r="O61" i="21" s="1"/>
  <c r="V47" i="21"/>
  <c r="S57" i="21"/>
  <c r="T63" i="21"/>
  <c r="Z59" i="21"/>
  <c r="Z67" i="21" s="1"/>
  <c r="S59" i="21"/>
  <c r="T68" i="21"/>
  <c r="V52" i="21"/>
  <c r="AA68" i="21"/>
  <c r="AC192" i="33" l="1"/>
  <c r="Y35" i="21" s="1"/>
  <c r="AA27" i="21"/>
  <c r="AD310" i="33"/>
  <c r="AD101" i="33"/>
  <c r="AD189" i="33" s="1"/>
  <c r="AD183" i="33" s="1"/>
  <c r="S65" i="21"/>
  <c r="AE94" i="33"/>
  <c r="AD15" i="33"/>
  <c r="AC33" i="33"/>
  <c r="AC34" i="33" s="1"/>
  <c r="AC17" i="33"/>
  <c r="AE99" i="33"/>
  <c r="AD27" i="33"/>
  <c r="AC186" i="33"/>
  <c r="S51" i="21"/>
  <c r="S67" i="21" s="1"/>
  <c r="V68" i="21"/>
  <c r="T57" i="21"/>
  <c r="T65" i="21" s="1"/>
  <c r="R56" i="21"/>
  <c r="R58" i="21" s="1"/>
  <c r="R53" i="21" s="1"/>
  <c r="R50" i="21"/>
  <c r="V55" i="21"/>
  <c r="Q45" i="21"/>
  <c r="Q66" i="21"/>
  <c r="Q61" i="21" s="1"/>
  <c r="W47" i="21"/>
  <c r="Q64" i="21"/>
  <c r="S48" i="21"/>
  <c r="T59" i="21"/>
  <c r="U68" i="21"/>
  <c r="AA59" i="21"/>
  <c r="W68" i="21"/>
  <c r="AC198" i="33" l="1"/>
  <c r="Y37" i="21" s="1"/>
  <c r="AC196" i="33"/>
  <c r="Y36" i="21" s="1"/>
  <c r="AD192" i="33"/>
  <c r="Z35" i="21" s="1"/>
  <c r="R64" i="21"/>
  <c r="AD32" i="33"/>
  <c r="V49" i="21"/>
  <c r="W49" i="21"/>
  <c r="R45" i="21"/>
  <c r="R66" i="21"/>
  <c r="R61" i="21" s="1"/>
  <c r="T51" i="21"/>
  <c r="T67" i="21" s="1"/>
  <c r="X47" i="21"/>
  <c r="T48" i="21"/>
  <c r="W55" i="21"/>
  <c r="W63" i="21" s="1"/>
  <c r="U49" i="21"/>
  <c r="AA51" i="21"/>
  <c r="AA67" i="21" s="1"/>
  <c r="S50" i="21"/>
  <c r="S56" i="21"/>
  <c r="S58" i="21" s="1"/>
  <c r="S53" i="21" s="1"/>
  <c r="U57" i="21"/>
  <c r="V63" i="21"/>
  <c r="X68" i="21"/>
  <c r="U51" i="21"/>
  <c r="U59" i="21"/>
  <c r="AD198" i="33" l="1"/>
  <c r="Z37" i="21" s="1"/>
  <c r="AD186" i="33"/>
  <c r="AD196" i="33"/>
  <c r="Z36" i="21" s="1"/>
  <c r="U65" i="21"/>
  <c r="AE32" i="33"/>
  <c r="AD28" i="33"/>
  <c r="AD16" i="33"/>
  <c r="S66" i="21"/>
  <c r="S61" i="21" s="1"/>
  <c r="S45" i="21"/>
  <c r="S64" i="21"/>
  <c r="U48" i="21"/>
  <c r="X55" i="21"/>
  <c r="U67" i="21"/>
  <c r="T56" i="21"/>
  <c r="T58" i="21" s="1"/>
  <c r="T53" i="21" s="1"/>
  <c r="T50" i="21"/>
  <c r="Y47" i="21"/>
  <c r="V57" i="21"/>
  <c r="V65" i="21" s="1"/>
  <c r="Y68" i="21"/>
  <c r="T64" i="21" l="1"/>
  <c r="AE24" i="33"/>
  <c r="AA33" i="21" s="1"/>
  <c r="AD29" i="33"/>
  <c r="AD33" i="33"/>
  <c r="AD34" i="33" s="1"/>
  <c r="AE12" i="33"/>
  <c r="AD17" i="33"/>
  <c r="AE16" i="33"/>
  <c r="AE28" i="33"/>
  <c r="AE29" i="33" s="1"/>
  <c r="V51" i="21"/>
  <c r="V67" i="21" s="1"/>
  <c r="Z47" i="21"/>
  <c r="W57" i="21"/>
  <c r="W65" i="21" s="1"/>
  <c r="V48" i="21"/>
  <c r="U50" i="21"/>
  <c r="Y55" i="21"/>
  <c r="Y63" i="21" s="1"/>
  <c r="U56" i="21"/>
  <c r="U58" i="21" s="1"/>
  <c r="U53" i="21" s="1"/>
  <c r="T45" i="21"/>
  <c r="T66" i="21"/>
  <c r="T61" i="21" s="1"/>
  <c r="X63" i="21"/>
  <c r="AA28" i="21" l="1"/>
  <c r="AA34" i="21" s="1"/>
  <c r="AD311" i="33"/>
  <c r="AE95" i="33"/>
  <c r="AE18" i="33"/>
  <c r="AE33" i="33"/>
  <c r="AE34" i="33" s="1"/>
  <c r="AE17" i="33"/>
  <c r="AE100" i="33"/>
  <c r="AE30" i="33"/>
  <c r="AE35" i="33"/>
  <c r="AE177" i="33" s="1"/>
  <c r="AE180" i="33" s="1"/>
  <c r="W51" i="21"/>
  <c r="W67" i="21" s="1"/>
  <c r="V50" i="21"/>
  <c r="Z55" i="21"/>
  <c r="Z63" i="21" s="1"/>
  <c r="Z49" i="21"/>
  <c r="X49" i="21"/>
  <c r="U45" i="21"/>
  <c r="U66" i="21"/>
  <c r="U61" i="21" s="1"/>
  <c r="W48" i="21"/>
  <c r="X57" i="21"/>
  <c r="V56" i="21"/>
  <c r="V58" i="21" s="1"/>
  <c r="V53" i="21" s="1"/>
  <c r="U64" i="21"/>
  <c r="AE101" i="33" l="1"/>
  <c r="AE189" i="33" s="1"/>
  <c r="W50" i="21"/>
  <c r="W56" i="21"/>
  <c r="W58" i="21" s="1"/>
  <c r="W53" i="21" s="1"/>
  <c r="Y57" i="21"/>
  <c r="V66" i="21"/>
  <c r="V61" i="21" s="1"/>
  <c r="V45" i="21"/>
  <c r="Y49" i="21"/>
  <c r="V64" i="21"/>
  <c r="X48" i="21"/>
  <c r="X65" i="21"/>
  <c r="Y65" i="21" l="1"/>
  <c r="AE192" i="33"/>
  <c r="AE183" i="33"/>
  <c r="Z57" i="21"/>
  <c r="Z65" i="21" s="1"/>
  <c r="Y48" i="21"/>
  <c r="X50" i="21"/>
  <c r="W45" i="21"/>
  <c r="W66" i="21"/>
  <c r="W61" i="21" s="1"/>
  <c r="X56" i="21"/>
  <c r="X58" i="21" s="1"/>
  <c r="X53" i="21" s="1"/>
  <c r="W64" i="21"/>
  <c r="AA35" i="21" l="1"/>
  <c r="AE196" i="33"/>
  <c r="AA36" i="21" s="1"/>
  <c r="AE198" i="33"/>
  <c r="AA37" i="21" s="1"/>
  <c r="AE186" i="33"/>
  <c r="Y56" i="21"/>
  <c r="Y58" i="21" s="1"/>
  <c r="Y53" i="21" s="1"/>
  <c r="X66" i="21"/>
  <c r="X61" i="21" s="1"/>
  <c r="X45" i="21"/>
  <c r="Z48" i="21"/>
  <c r="X64" i="21"/>
  <c r="Y50" i="21"/>
  <c r="Y64" i="21" l="1"/>
  <c r="Z50" i="21"/>
  <c r="Z56" i="21"/>
  <c r="Z58" i="21" s="1"/>
  <c r="Z53" i="21" s="1"/>
  <c r="Y66" i="21"/>
  <c r="Y61" i="21" s="1"/>
  <c r="Y45" i="21"/>
  <c r="AA48" i="21"/>
  <c r="Z64" i="21" l="1"/>
  <c r="Z45" i="21"/>
  <c r="Z66" i="21"/>
  <c r="Z61" i="21" s="1"/>
  <c r="AA56" i="21"/>
  <c r="AA64" i="21" s="1"/>
  <c r="AA49" i="21" l="1"/>
  <c r="AA57" i="21" l="1"/>
  <c r="AA58" i="21" s="1"/>
  <c r="AA53" i="21" s="1"/>
  <c r="AA50" i="21"/>
  <c r="AA65" i="21" l="1"/>
  <c r="AA45" i="21"/>
  <c r="AA66" i="21"/>
  <c r="AA61" i="21" s="1"/>
</calcChain>
</file>

<file path=xl/comments1.xml><?xml version="1.0" encoding="utf-8"?>
<comments xmlns="http://schemas.openxmlformats.org/spreadsheetml/2006/main">
  <authors>
    <author>Kasper Nyborg</author>
  </authors>
  <commentList>
    <comment ref="K54" authorId="0">
      <text>
        <r>
          <rPr>
            <b/>
            <sz val="9"/>
            <color indexed="81"/>
            <rFont val="Tahoma"/>
            <family val="2"/>
          </rPr>
          <t>Kasper Nyborg:</t>
        </r>
        <r>
          <rPr>
            <sz val="9"/>
            <color indexed="81"/>
            <rFont val="Tahoma"/>
            <family val="2"/>
          </rPr>
          <t xml:space="preserve">
28 MW ved Nissum Bredning. De resterende 22 MW i forsøgsordningen er antaget ligeligt fordelt mellem øst og vest.</t>
        </r>
      </text>
    </comment>
  </commentList>
</comments>
</file>

<file path=xl/sharedStrings.xml><?xml version="1.0" encoding="utf-8"?>
<sst xmlns="http://schemas.openxmlformats.org/spreadsheetml/2006/main" count="1125" uniqueCount="486">
  <si>
    <t>År</t>
  </si>
  <si>
    <t>Fremskrivning</t>
  </si>
  <si>
    <t>Øst</t>
  </si>
  <si>
    <t>Vest</t>
  </si>
  <si>
    <t>Elbiler</t>
  </si>
  <si>
    <t>GWh</t>
  </si>
  <si>
    <t>Østdanmark</t>
  </si>
  <si>
    <t>Vestdanmark</t>
  </si>
  <si>
    <t>Havmøller</t>
  </si>
  <si>
    <t>Sum DK</t>
  </si>
  <si>
    <t>Danmark</t>
  </si>
  <si>
    <t>Eksport</t>
  </si>
  <si>
    <t>Import</t>
  </si>
  <si>
    <t xml:space="preserve"> </t>
  </si>
  <si>
    <t>Individuelle varmepumper</t>
  </si>
  <si>
    <t>Total</t>
  </si>
  <si>
    <t>Anlæg</t>
  </si>
  <si>
    <t>Bemærkning</t>
  </si>
  <si>
    <t>Kyndbyværkets Blok 21</t>
  </si>
  <si>
    <t>Kyndbyværkets Blok 22</t>
  </si>
  <si>
    <t>Kyndbyværkets Blok 41</t>
  </si>
  <si>
    <t>Masnedøværkets Blok 31</t>
  </si>
  <si>
    <t>Svanemølleværkets Blok 1-3</t>
  </si>
  <si>
    <t>Svanemølleværkets Blok 7</t>
  </si>
  <si>
    <t>Stigsnæsværkets Blok 2</t>
  </si>
  <si>
    <t>Østkraft</t>
  </si>
  <si>
    <t>Benyttelsestid</t>
  </si>
  <si>
    <t>Vestdanmark - Tyskland</t>
  </si>
  <si>
    <t>Udlandsforbindelser</t>
  </si>
  <si>
    <t>Individuelle varmepumper og elbiler</t>
  </si>
  <si>
    <t>Det årlige elforbrug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</si>
  <si>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</si>
  <si>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</si>
  <si>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</si>
  <si>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</si>
  <si>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</si>
  <si>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</si>
  <si>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</si>
  <si>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</si>
  <si>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</si>
  <si>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</si>
  <si>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</si>
  <si>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Kraftværker, Vestdanmark</t>
  </si>
  <si>
    <t>Kraftværker, Østdanmark</t>
  </si>
  <si>
    <t>Brændselspriser</t>
  </si>
  <si>
    <t>Kul</t>
  </si>
  <si>
    <t>Fuelolie</t>
  </si>
  <si>
    <t>Gasolie</t>
  </si>
  <si>
    <t>Gas</t>
  </si>
  <si>
    <t>Halm</t>
  </si>
  <si>
    <t>Træflis</t>
  </si>
  <si>
    <t>Træpiller</t>
  </si>
  <si>
    <t>Elpriser for Danmark og nærmeste områder</t>
  </si>
  <si>
    <t>DK</t>
  </si>
  <si>
    <t>DE</t>
  </si>
  <si>
    <t>NL</t>
  </si>
  <si>
    <t>Indholdsfortegnelse</t>
  </si>
  <si>
    <t>Det maksimale timeforbrug for fremskrivningsårene</t>
  </si>
  <si>
    <t>Økonomiske nøgletal</t>
  </si>
  <si>
    <t>Solceller</t>
  </si>
  <si>
    <t>Kapacitet</t>
  </si>
  <si>
    <t>Produktion</t>
  </si>
  <si>
    <t>12.</t>
  </si>
  <si>
    <t>13.</t>
  </si>
  <si>
    <t>Vindkapacitet på land og hav</t>
  </si>
  <si>
    <t>14.</t>
  </si>
  <si>
    <t>Sum MW</t>
  </si>
  <si>
    <t>Sum GWh</t>
  </si>
  <si>
    <t>% af klassisk forbrug</t>
  </si>
  <si>
    <t>Anholt</t>
  </si>
  <si>
    <t>Kriegers flak</t>
  </si>
  <si>
    <t>Landmøller</t>
  </si>
  <si>
    <t>Øst-DK</t>
  </si>
  <si>
    <t>Vest-DK</t>
  </si>
  <si>
    <t>Kystnære møller</t>
  </si>
  <si>
    <t>GWh kystnære</t>
  </si>
  <si>
    <t>GWh Havmøller</t>
  </si>
  <si>
    <t>Havvind</t>
  </si>
  <si>
    <t>Før 2008</t>
  </si>
  <si>
    <t>Vækst, møller før 2008</t>
  </si>
  <si>
    <t>Sum, møller før 2008</t>
  </si>
  <si>
    <t>Sum, Øst DK</t>
  </si>
  <si>
    <t>Sum, Vest DK</t>
  </si>
  <si>
    <t>Landvind</t>
  </si>
  <si>
    <t>Kystnære, Vest</t>
  </si>
  <si>
    <t>Kystnære, Øst</t>
  </si>
  <si>
    <t>Land, Øst</t>
  </si>
  <si>
    <t>Land, Vest</t>
  </si>
  <si>
    <t>Dato</t>
  </si>
  <si>
    <t>Tid</t>
  </si>
  <si>
    <t>Årsforbrug</t>
  </si>
  <si>
    <t>Maks. effekt</t>
  </si>
  <si>
    <t>17-18</t>
  </si>
  <si>
    <t>8-9</t>
  </si>
  <si>
    <t>10-11</t>
  </si>
  <si>
    <t>Historiske værdier</t>
  </si>
  <si>
    <t>Herningværket</t>
  </si>
  <si>
    <t>Decentrale værker
Erhvervsværker
Lokale værker
inkl. regulerkraftanlæg</t>
  </si>
  <si>
    <t>DKK/EUR</t>
  </si>
  <si>
    <t>MWh/h</t>
  </si>
  <si>
    <t>GWh/år</t>
  </si>
  <si>
    <t>Primo år</t>
  </si>
  <si>
    <t>CO2, SO2 og NOx priser</t>
  </si>
  <si>
    <t>Landvind, før 2008</t>
  </si>
  <si>
    <t>Store varmepumper</t>
  </si>
  <si>
    <t>15.</t>
  </si>
  <si>
    <t>16.</t>
  </si>
  <si>
    <t>17.</t>
  </si>
  <si>
    <t>Fjernvarmeforbrug</t>
  </si>
  <si>
    <t>Husholdning</t>
  </si>
  <si>
    <t>Erhverv</t>
  </si>
  <si>
    <t>Tab</t>
  </si>
  <si>
    <t>TJ</t>
  </si>
  <si>
    <t>Sverige</t>
  </si>
  <si>
    <t>Sverige + Danmark</t>
  </si>
  <si>
    <t>Kommerciel eksport til Tyskland</t>
  </si>
  <si>
    <t>Forbrug Danmark og Sverige samt eksport til Tyskland</t>
  </si>
  <si>
    <t>% af samlet forbrug</t>
  </si>
  <si>
    <t>Vind i % af klassisk forbrug</t>
  </si>
  <si>
    <t>Vind i % af samlet forbrug</t>
  </si>
  <si>
    <t>Import fra Tyskland (Entry Ellund)</t>
  </si>
  <si>
    <t>Fra 2020 og frem</t>
  </si>
  <si>
    <t>Vindeby</t>
  </si>
  <si>
    <t>Tunø Knob</t>
  </si>
  <si>
    <t>Horns Rev 1</t>
  </si>
  <si>
    <t>Horns Rev 2</t>
  </si>
  <si>
    <t>Rødsand 1</t>
  </si>
  <si>
    <t>Rødsand 2</t>
  </si>
  <si>
    <t>=INDTASTNINGSCELLER</t>
  </si>
  <si>
    <t>Samlet nettovækst i MW</t>
  </si>
  <si>
    <t>Vindeby (1991)</t>
  </si>
  <si>
    <t>Middelgrunden (2000)</t>
  </si>
  <si>
    <t>Avedøre Holme (2009)</t>
  </si>
  <si>
    <t>Avedøre Holme (2011)</t>
  </si>
  <si>
    <t>Tunø Knob (1995)</t>
  </si>
  <si>
    <t>Rønland (2003)</t>
  </si>
  <si>
    <t>Samsø (2003)</t>
  </si>
  <si>
    <t xml:space="preserve">Frederikshavn (2003) </t>
  </si>
  <si>
    <t>Sprogø (2009)</t>
  </si>
  <si>
    <t>Middelgrunden</t>
  </si>
  <si>
    <t>Rønland</t>
  </si>
  <si>
    <t>Samsø</t>
  </si>
  <si>
    <t>Frederikshavn</t>
  </si>
  <si>
    <t>Sprogø</t>
  </si>
  <si>
    <t>Avedøre Holme</t>
  </si>
  <si>
    <t>Landvind, fra 2020 og frem</t>
  </si>
  <si>
    <t>I drift</t>
  </si>
  <si>
    <t>J/N</t>
  </si>
  <si>
    <t xml:space="preserve">Forventede leverancer fra Nordsøen til Danmark (Nybro) </t>
  </si>
  <si>
    <t>Nettab</t>
  </si>
  <si>
    <t>Omregningsfaktorer</t>
  </si>
  <si>
    <t>Fra</t>
  </si>
  <si>
    <t>Til</t>
  </si>
  <si>
    <t>GJ</t>
  </si>
  <si>
    <t>PJ</t>
  </si>
  <si>
    <t>GWh*</t>
  </si>
  <si>
    <t>Olie</t>
  </si>
  <si>
    <t>DK1</t>
  </si>
  <si>
    <t>DK2</t>
  </si>
  <si>
    <t>SE4</t>
  </si>
  <si>
    <t>SE3</t>
  </si>
  <si>
    <t>2021-2030</t>
  </si>
  <si>
    <t>AF2015</t>
  </si>
  <si>
    <t>Landmøller - Kapacitet</t>
  </si>
  <si>
    <t>Sum, møller fra 2008 - 2013</t>
  </si>
  <si>
    <t>Sum, møller fra 2014 - 2019</t>
  </si>
  <si>
    <t>Sum, møller fra 2020 og frem</t>
  </si>
  <si>
    <t>Vækst, møller fra 2008 - 2013</t>
  </si>
  <si>
    <t>Vækst, møller fra 2014 - 2019</t>
  </si>
  <si>
    <t>Vækst, møller fra 2020 og frem</t>
  </si>
  <si>
    <t>Nedtagning (samlet)</t>
  </si>
  <si>
    <t>Opsætning (samlet)</t>
  </si>
  <si>
    <t>Nettoopsætning (samlet)</t>
  </si>
  <si>
    <t>Sum Landvind hele DK (primo år)</t>
  </si>
  <si>
    <t>Kystnære møller - Kapacitet</t>
  </si>
  <si>
    <t>Kystnære møller i udbud</t>
  </si>
  <si>
    <t>Kystnære møller uden for udbud</t>
  </si>
  <si>
    <t>Havmøller - Kapacitet</t>
  </si>
  <si>
    <t>Horns Rev 1 (2002)</t>
  </si>
  <si>
    <t>Rødsand 1 / Nysted (2003)</t>
  </si>
  <si>
    <t>Horns Rev 2 (2009)</t>
  </si>
  <si>
    <t>Rødsand 2 (2010)</t>
  </si>
  <si>
    <t>Anholt (2013)</t>
  </si>
  <si>
    <t>Horns Rev 3</t>
  </si>
  <si>
    <t>Fuldlasttimer og produktion</t>
  </si>
  <si>
    <t>Landvind - Fuldlasttimer</t>
  </si>
  <si>
    <t>Fra 2008 - 2013</t>
  </si>
  <si>
    <t>Landvind - Produktion (GWh)</t>
  </si>
  <si>
    <t>GWh Landmøller</t>
  </si>
  <si>
    <t>Kystvind - Fuldlasttimer</t>
  </si>
  <si>
    <t>Nye kystnære - UDEN for udbud</t>
  </si>
  <si>
    <t>Kystvind - Produktion (GWh)</t>
  </si>
  <si>
    <t>Havvind - Fuldlasttimer</t>
  </si>
  <si>
    <t>Havvind - Produktion (GWh)</t>
  </si>
  <si>
    <t>Kapacitet (primo år)</t>
  </si>
  <si>
    <t>Landvind (MW)</t>
  </si>
  <si>
    <t>Kystvind (MW)</t>
  </si>
  <si>
    <t>Havvind (MW)</t>
  </si>
  <si>
    <t>Kapacitet i alt (MW)</t>
  </si>
  <si>
    <t>Fuldlastimer pr. år</t>
  </si>
  <si>
    <t>Landvind (gns.)</t>
  </si>
  <si>
    <t>Kystvind (gns.)</t>
  </si>
  <si>
    <t>Havvind (gns.)</t>
  </si>
  <si>
    <t>Fuldlasttimer (totalt gennemsnit)</t>
  </si>
  <si>
    <t>Produktion (i året)</t>
  </si>
  <si>
    <t>Landvind (GWh)</t>
  </si>
  <si>
    <t>Kystvind (GWh)</t>
  </si>
  <si>
    <t>Havvind (GWh)</t>
  </si>
  <si>
    <t>Produktion i alt (GWh)</t>
  </si>
  <si>
    <t>Forbrug og vindandel</t>
  </si>
  <si>
    <t>Klassisk forbrug (GWh)</t>
  </si>
  <si>
    <t>Samlet forbrug (GWh)</t>
  </si>
  <si>
    <t>Kystvind</t>
  </si>
  <si>
    <t>Mellem 2008 - 2013</t>
  </si>
  <si>
    <t>Landvind, 2008-2013</t>
  </si>
  <si>
    <t>Fra 2014 - 2019</t>
  </si>
  <si>
    <t>Før</t>
  </si>
  <si>
    <t>Landvind, efter 2020</t>
  </si>
  <si>
    <t>http://www.tennet.eu/de/fileadmin/downloads/Kunden/bestimmungenubertragungskapazitat20120924_fin_en.pdf</t>
  </si>
  <si>
    <t>http://www.casc.eu/media/2014-02-12%20Capacities%202015%20(2).pdf</t>
  </si>
  <si>
    <t>Femern og elektrificering af fjernbanen</t>
  </si>
  <si>
    <t>Kilde: Konvergensprogram 2015</t>
  </si>
  <si>
    <t>Park</t>
  </si>
  <si>
    <t>Fuldlasttimer</t>
  </si>
  <si>
    <t>Kapacitet
(MW)</t>
  </si>
  <si>
    <t>Type</t>
  </si>
  <si>
    <t>Kyst</t>
  </si>
  <si>
    <t>Hav</t>
  </si>
  <si>
    <t>2008-2013</t>
  </si>
  <si>
    <t>2014-2019</t>
  </si>
  <si>
    <t>2020 og frem</t>
  </si>
  <si>
    <t>Fynsværkets Blok 7</t>
  </si>
  <si>
    <t>Fynsværkets Blok 8</t>
  </si>
  <si>
    <t>Nordjyllandsværkets Blok 3</t>
  </si>
  <si>
    <t>Skærbækværkets Blok 3</t>
  </si>
  <si>
    <t>Studstrupværkets Blok 3</t>
  </si>
  <si>
    <t>Studstrupværkets Blok 5</t>
  </si>
  <si>
    <t>Esbjergværkets Blok 3</t>
  </si>
  <si>
    <t>Studstrupværkets Blok 4</t>
  </si>
  <si>
    <t>Nordjyllandsværkets Blok 2</t>
  </si>
  <si>
    <t>Enstedværkets Blok 3</t>
  </si>
  <si>
    <t>Amagerværkets Blok 1</t>
  </si>
  <si>
    <t>Amagerværkets Blok 3</t>
  </si>
  <si>
    <t>Asnæsværkets Blok 2</t>
  </si>
  <si>
    <t>Avedøreværkets Blok 1</t>
  </si>
  <si>
    <t>Avedøreværkets Blok 2</t>
  </si>
  <si>
    <t>Asnæsværkets Blok 5</t>
  </si>
  <si>
    <t>Mellem 2014 - 2019</t>
  </si>
  <si>
    <t>Navn</t>
  </si>
  <si>
    <t>H.C. Ørstedværkets Sekt. 2
(Blok 1-4)</t>
  </si>
  <si>
    <t>Varmebinding</t>
  </si>
  <si>
    <t>Viking Link</t>
  </si>
  <si>
    <t>http://energinet.dk/DA/El/Nyheder/Sider/Nordtysk-netarbejde-giver-oeget-begraensninger-i-kapacitet-paa-dansk-tysk-graense.aspx</t>
  </si>
  <si>
    <t>H.C. Ørstedsværkets Blok 7</t>
  </si>
  <si>
    <t>H.C. Ørstedsværkets Blok 8</t>
  </si>
  <si>
    <t>I alt, centrale værker primo 2016</t>
  </si>
  <si>
    <t>I alt, primo 2016</t>
  </si>
  <si>
    <t>Horns Rev 4 (evt. kombi med HR1-repower)</t>
  </si>
  <si>
    <t>Jammerbugt el. Ringkøbing</t>
  </si>
  <si>
    <t>Rødsand 1 + 2 repower</t>
  </si>
  <si>
    <t>Landvind, mellem 2008 - 2013</t>
  </si>
  <si>
    <t>Landvind, mellem 2014 - 2019</t>
  </si>
  <si>
    <t>Landvind, AF2015</t>
  </si>
  <si>
    <t>Kystvind, AF2015</t>
  </si>
  <si>
    <t>Havvind, AF2015</t>
  </si>
  <si>
    <t>Beregningsark, vind</t>
  </si>
  <si>
    <t>Forbrug og eksport via gasinfrastrukturen</t>
  </si>
  <si>
    <t>Produktion og import via gasinfrastrukturen</t>
  </si>
  <si>
    <t>Konvergenspriser</t>
  </si>
  <si>
    <t>Forklaring</t>
  </si>
  <si>
    <t>IEA WEO2015-priser (New Policies Scenario)</t>
  </si>
  <si>
    <t>Halm, dec.</t>
  </si>
  <si>
    <t>Træpiller, dec.</t>
  </si>
  <si>
    <t>Brændselspriser i DKK/GJ (2016 priser). Alle priser er an kraftværk eller an decentral kraftværk (dec.), undtagen olie, der er an raffinaderi.</t>
  </si>
  <si>
    <t>http://montel.no/</t>
  </si>
  <si>
    <t>Europe ICE Brent</t>
  </si>
  <si>
    <t>API2 - API4 ICE</t>
  </si>
  <si>
    <t>Germany ICE Endex</t>
  </si>
  <si>
    <t>Future-priser</t>
  </si>
  <si>
    <t>Kilder til future-priser</t>
  </si>
  <si>
    <t>Gas, dec.</t>
  </si>
  <si>
    <t>CO2</t>
  </si>
  <si>
    <t>1. jan</t>
  </si>
  <si>
    <t>1. jul</t>
  </si>
  <si>
    <t>2017-2040</t>
  </si>
  <si>
    <t>Afgift pr. kg NOx udledt i luften</t>
  </si>
  <si>
    <t>DKK/kg (2016 priser)</t>
  </si>
  <si>
    <t>Afgift pr. kg svovldioxid udledt til luften</t>
  </si>
  <si>
    <t>2016-2040</t>
  </si>
  <si>
    <t>Afgiftsatser ved udledning af NOx til luften</t>
  </si>
  <si>
    <t>Afgiftsatser ved udledning af SO2 til luften</t>
  </si>
  <si>
    <t>Kilder</t>
  </si>
  <si>
    <t>DKK/ton (2016 priser)</t>
  </si>
  <si>
    <t>http://www.skm.dk/skattetal/satser/satser-og-beloebsgraenser/kvaelstofoxiderafgiftsloven-nox</t>
  </si>
  <si>
    <t>http://www.skm.dk/skattetal/satser/satser-og-beloebsgraenser/svovlafgiftsloven</t>
  </si>
  <si>
    <t>SO2 afgiftsatser (26-okt 2015)</t>
  </si>
  <si>
    <t>NOx afgiftsatser (21-dec 2015)</t>
  </si>
  <si>
    <t>Horns Rev 5 (evt. kombi med HR2-repower)</t>
  </si>
  <si>
    <t>AF2016 - Opsummering</t>
  </si>
  <si>
    <t>AF2015 - Opsummering</t>
  </si>
  <si>
    <t>Indholdfortegnelse</t>
  </si>
  <si>
    <t>Kyndbyværkets Blok 52</t>
  </si>
  <si>
    <t>Kyndbyværkets Blok 51</t>
  </si>
  <si>
    <t>CO2 future-priser (EEX EUA) hentet d. 16-03-2016</t>
  </si>
  <si>
    <r>
      <t>mio. M</t>
    </r>
    <r>
      <rPr>
        <vertAlign val="superscript"/>
        <sz val="10"/>
        <rFont val="Arial"/>
        <family val="2"/>
      </rPr>
      <t>3</t>
    </r>
  </si>
  <si>
    <t>Generel inflation (BVT-deflator)</t>
  </si>
  <si>
    <t>Prisindeks 2016=1</t>
  </si>
  <si>
    <t>Stigning i procent</t>
  </si>
  <si>
    <t>Valutakurser</t>
  </si>
  <si>
    <t>DKK/USD</t>
  </si>
  <si>
    <t>Øresund</t>
  </si>
  <si>
    <t>Kontek</t>
  </si>
  <si>
    <t>Kriegers Flak</t>
  </si>
  <si>
    <t>Skagerrak</t>
  </si>
  <si>
    <t>Konti-Skan</t>
  </si>
  <si>
    <t>COBRAcable</t>
  </si>
  <si>
    <t>Storebælt</t>
  </si>
  <si>
    <t>Østdanmark - Sverige</t>
  </si>
  <si>
    <t>Østdanmark - Tyskland</t>
  </si>
  <si>
    <t>Vestdanmark - Norge</t>
  </si>
  <si>
    <t>Vestdanmark - Sverige</t>
  </si>
  <si>
    <t>Vestdanmark - Holland</t>
  </si>
  <si>
    <t>Vestdanmark - Østdanmark</t>
  </si>
  <si>
    <t>Vestdanmark - England</t>
  </si>
  <si>
    <t>Forbindelse</t>
  </si>
  <si>
    <t>Metode til at håndtere interne flaskehalse i Tyskland i Energinet.dk's markedsmodeller</t>
  </si>
  <si>
    <t>Maksimum NTC (Net Transfer Capacity) på eksisterende, besluttede og planlagte eltransmissionsforbindelser. Kapaciteterne er angivet i MW og er for første hele driftsår.</t>
  </si>
  <si>
    <t>Nettab på udlandsforbindelser</t>
  </si>
  <si>
    <t>Begrænsninger på den dansk-tyske grænse</t>
  </si>
  <si>
    <t>Nettab og flaskehalse</t>
  </si>
  <si>
    <t>Elpatroner</t>
  </si>
  <si>
    <t>Husstandsanlæg uden batteri</t>
  </si>
  <si>
    <t>Husstandsanlæg med batteri</t>
  </si>
  <si>
    <t>Kommercielle anlæg uden batteri</t>
  </si>
  <si>
    <t>Kommercielle anlæg med batteri</t>
  </si>
  <si>
    <t>Markanlæg</t>
  </si>
  <si>
    <t>Fremskrivning af solcellekapacitet i Danmark. Værdierne er angivet i MW og er primo året.</t>
  </si>
  <si>
    <t>Værdierne er angivet i timer/år.</t>
  </si>
  <si>
    <t>Værdierne er angivet i GWh/år.</t>
  </si>
  <si>
    <t>Klassisk elforbrug</t>
  </si>
  <si>
    <t>Store datacentre</t>
  </si>
  <si>
    <t>11-12</t>
  </si>
  <si>
    <t>h</t>
  </si>
  <si>
    <t>Kilde: Energinet.dk markedsdata, bruttoelforbrug (dvs. inklusiv nettab for transmissionsnettet)</t>
  </si>
  <si>
    <t>Elforbrug, ab værk</t>
  </si>
  <si>
    <t>Elforbrug, an forbruger</t>
  </si>
  <si>
    <t>Elpatroner og store 
varmepumper</t>
  </si>
  <si>
    <t>GWh/år, ab værk</t>
  </si>
  <si>
    <t>Forsøgsmøller</t>
  </si>
  <si>
    <t>Nye kystnære - Forsøgsmøller</t>
  </si>
  <si>
    <t>Nye kystnære - Udbud</t>
  </si>
  <si>
    <t>Realt BNP, årlig vækst</t>
  </si>
  <si>
    <t>Effektiv rente på 10-årig statsobligation, ultimo</t>
  </si>
  <si>
    <t>2017-2020</t>
  </si>
  <si>
    <t>2031-2040</t>
  </si>
  <si>
    <t>Jammerbugt eller Ringkøbing</t>
  </si>
  <si>
    <t>Landvind, AF15</t>
  </si>
  <si>
    <t>Hav- og kystvind, AF15</t>
  </si>
  <si>
    <t>Landvind, 2014-2019</t>
  </si>
  <si>
    <t>Horns Rev 4 + evt. HR1 repower</t>
  </si>
  <si>
    <t>Horns Rev 5 + evt. HR2 repower</t>
  </si>
  <si>
    <t>Tabeller til figurer</t>
  </si>
  <si>
    <r>
      <t>Årsmængder i mio. m</t>
    </r>
    <r>
      <rPr>
        <b/>
        <vertAlign val="superscript"/>
        <sz val="10"/>
        <rFont val="Arial"/>
        <family val="2"/>
      </rPr>
      <t>3</t>
    </r>
  </si>
  <si>
    <r>
      <t>mio. m</t>
    </r>
    <r>
      <rPr>
        <vertAlign val="superscript"/>
        <sz val="10"/>
        <rFont val="Arial"/>
        <family val="2"/>
      </rPr>
      <t>3</t>
    </r>
  </si>
  <si>
    <r>
      <t>kWh/m</t>
    </r>
    <r>
      <rPr>
        <vertAlign val="superscript"/>
        <sz val="10"/>
        <rFont val="Arial"/>
        <family val="2"/>
      </rPr>
      <t>3</t>
    </r>
  </si>
  <si>
    <t>VE-gas</t>
  </si>
  <si>
    <t>Samlede leverancer til Danmark inkl. VE-gas</t>
  </si>
  <si>
    <t>Energiindhold i GWh, øvre brændværdi</t>
  </si>
  <si>
    <t>Energiindhold i PJ, øvre brændværdi</t>
  </si>
  <si>
    <r>
      <t>GJ/m</t>
    </r>
    <r>
      <rPr>
        <vertAlign val="superscript"/>
        <sz val="10"/>
        <rFont val="Arial"/>
        <family val="2"/>
      </rPr>
      <t>3</t>
    </r>
  </si>
  <si>
    <t>Centrale gasdata</t>
  </si>
  <si>
    <t>Gasforbindelser</t>
  </si>
  <si>
    <t>Den reale samfundsøkonomiske kalkulationsrente</t>
  </si>
  <si>
    <t>År 0 – 35</t>
  </si>
  <si>
    <t>År 36 – 70</t>
  </si>
  <si>
    <t>År 70 og efterfølgende år</t>
  </si>
  <si>
    <t>Kilde: Finansministeriet og Energistyrelsen</t>
  </si>
  <si>
    <t>Decentral</t>
  </si>
  <si>
    <t>Central</t>
  </si>
  <si>
    <t>Samlet</t>
  </si>
  <si>
    <r>
      <t>MW</t>
    </r>
    <r>
      <rPr>
        <vertAlign val="subscript"/>
        <sz val="8"/>
        <rFont val="Verdana"/>
        <family val="2"/>
      </rPr>
      <t>el</t>
    </r>
  </si>
  <si>
    <t>Forbrug</t>
  </si>
  <si>
    <t>*Estimeret vha. Sifre-kørsler.</t>
  </si>
  <si>
    <t>Elkapacitet (primo år), elforbrug (årsmængde an forbruger) og benyttelsestid for elpatroner på kraftvarmeværker i Danmark.</t>
  </si>
  <si>
    <t>Elkapacitet (primo år), elforbrug (årsmængde an forbruger) og benyttelsestid for varmepumper installeret i de store danske varmeområder (centrale) og øvrige store varmepumper, der forsyner det danske fjernvarmenet (decentrale).</t>
  </si>
  <si>
    <r>
      <t>MW</t>
    </r>
    <r>
      <rPr>
        <b/>
        <vertAlign val="subscript"/>
        <sz val="8"/>
        <rFont val="Verdana"/>
        <family val="2"/>
      </rPr>
      <t>el</t>
    </r>
  </si>
  <si>
    <t>Opgørelse af elkapacitet (MW, primo år) for eksisterende eller godkendte elpatroner på kraftvarmeværker i Danmark.</t>
  </si>
  <si>
    <t>Antal</t>
  </si>
  <si>
    <t>Elforbrug pr. km</t>
  </si>
  <si>
    <t>km/år</t>
  </si>
  <si>
    <t>kWh/km</t>
  </si>
  <si>
    <t>MWh/år</t>
  </si>
  <si>
    <t>Antagelser for elbilsfremskrivningen</t>
  </si>
  <si>
    <t>Årligt elforbrug pr. elbil</t>
  </si>
  <si>
    <t>Gennemsnitlig årligt kørselsbehov</t>
  </si>
  <si>
    <t>1.000 stk.</t>
  </si>
  <si>
    <t>Fremskrivning af elforbrug (årsmængder an forbruger) til individuelle varmepumper og elbiler. Antal elbiler er primo år.</t>
  </si>
  <si>
    <t>2-års vinter</t>
  </si>
  <si>
    <t>10-års vinter</t>
  </si>
  <si>
    <t>DK-Øst</t>
  </si>
  <si>
    <t>DK-Vest</t>
  </si>
  <si>
    <t>Maksimaleffekt for samlet elforbrug</t>
  </si>
  <si>
    <t>Maksimaleffekt for klassisk elforbrug</t>
  </si>
  <si>
    <t>Central kapacitet</t>
  </si>
  <si>
    <t>Decentral kapacitet</t>
  </si>
  <si>
    <t>Samlet forbrug</t>
  </si>
  <si>
    <t>Tabel i hovednotat.</t>
  </si>
  <si>
    <t>Benyttelsestid (gennemsnit for installeret kapacitet pr. år)</t>
  </si>
  <si>
    <t>Husstandsanlæg</t>
  </si>
  <si>
    <t>Kommercielle anlæg</t>
  </si>
  <si>
    <t>Første år</t>
  </si>
  <si>
    <t>Område</t>
  </si>
  <si>
    <t>Sidste år</t>
  </si>
  <si>
    <t>Elpatroner og store varmepumper</t>
  </si>
  <si>
    <t>Indiv. varmepumper</t>
  </si>
  <si>
    <t>Kilde: Energistyrelsens Basisfremskrivning 2015, forløb B. 2025-værdien er antaget konstant i den efterfølgende fremskrivningsperiode i analyseforudsætningerne.</t>
  </si>
  <si>
    <t>Bruttoelforbrug i Østdanmark</t>
  </si>
  <si>
    <t>Bruttoelforbrug i Vestdanmark</t>
  </si>
  <si>
    <t>Forbrug (netto)</t>
  </si>
  <si>
    <t>Femern og elektr.</t>
  </si>
  <si>
    <r>
      <t>mio. m</t>
    </r>
    <r>
      <rPr>
        <b/>
        <vertAlign val="superscript"/>
        <sz val="8"/>
        <rFont val="Verdana"/>
        <family val="2"/>
      </rPr>
      <t>3</t>
    </r>
  </si>
  <si>
    <t>GB</t>
  </si>
  <si>
    <t>NSY</t>
  </si>
  <si>
    <t>Interpolerede priser.</t>
  </si>
  <si>
    <t>Simulerede elpriser fra Energinet.dk's energimodeller.</t>
  </si>
  <si>
    <t>ENO</t>
  </si>
  <si>
    <t>CfD - DK1</t>
  </si>
  <si>
    <t>SYARH</t>
  </si>
  <si>
    <t>CfD - DK2</t>
  </si>
  <si>
    <t>SYCPH</t>
  </si>
  <si>
    <t>CfD - NSY</t>
  </si>
  <si>
    <t>SYOSL</t>
  </si>
  <si>
    <t>CfD - SE3</t>
  </si>
  <si>
    <t>SYMAL</t>
  </si>
  <si>
    <t>CfD - SE4</t>
  </si>
  <si>
    <t>SYSTO</t>
  </si>
  <si>
    <t>Nordisk systempris</t>
  </si>
  <si>
    <t>EDEFUTBL</t>
  </si>
  <si>
    <t>ENLBL</t>
  </si>
  <si>
    <t>EUKBL</t>
  </si>
  <si>
    <t>Hentet d. 16-03-2016</t>
  </si>
  <si>
    <t>http://nasdaqomx.com/commodities</t>
  </si>
  <si>
    <t>Elpriser i DKK/MWh (2016 priser) for Danmark, Norge, Sverige, Tyskland, Holland og Storbrittanien.</t>
  </si>
  <si>
    <t>Anlægsstatus: konserveret</t>
  </si>
  <si>
    <t>Anlægsstatus: betinget driftsklar stand</t>
  </si>
  <si>
    <t>Kapacitet maks</t>
  </si>
  <si>
    <t>Kapacitet nominel</t>
  </si>
  <si>
    <r>
      <t>MW</t>
    </r>
    <r>
      <rPr>
        <vertAlign val="subscript"/>
        <sz val="8"/>
        <color indexed="8"/>
        <rFont val="Verdana"/>
        <family val="2"/>
      </rPr>
      <t>el</t>
    </r>
  </si>
  <si>
    <t>Ja</t>
  </si>
  <si>
    <t>Nej</t>
  </si>
  <si>
    <t>Brændsel: naturgas.
Ombygget i 1994.
Status konserveret - ikke driftsklar.</t>
  </si>
  <si>
    <t>Brændsel: naturgas, letolie.
Renoveret i 2007/2008. 
Status konserveret - ikke driftsklar.</t>
  </si>
  <si>
    <t>Brændsel: naturgas, letolie.
Status konserveret - ikke driftsklar.</t>
  </si>
  <si>
    <t>Brændsel: stenkul, fuelolie.
Status konserveret - ikke driftsklar.</t>
  </si>
  <si>
    <t>Oversigt over kraftværker i Østdanmark</t>
  </si>
  <si>
    <t>Kapaciteter er primo år og afrundet til nærmeste hele 5 MW.</t>
  </si>
  <si>
    <t>Oversigt over kraftværker i Vestdanmark</t>
  </si>
  <si>
    <t>Brændsel: halm.</t>
  </si>
  <si>
    <t>Brændsel: stenkul, halm, fuelolie.
20 MW overlastevne.
Betinget driftsklar stand med en opstartstid på 3 mdr.</t>
  </si>
  <si>
    <t>Brændsel: stenkul. 
Heraf 40 MW biomasse.
Status konserveret - ikke driftsklar.</t>
  </si>
  <si>
    <t>Brændsel: stenkul.
Status konserveret - ikke driftsklar.</t>
  </si>
  <si>
    <t>Brændsel: stenkul, fuelolie.
25 MW overlastevne.
Betinget driftsklar stand med 8 ugers startvarsel.
Backup for ASV2, hvorfor de ikke kører samtidig.</t>
  </si>
  <si>
    <t>Kilde: EUR- og USD-kurser er fra Konvergensprogram 2015.</t>
  </si>
  <si>
    <t>Futurepriser fra Nasdaq hentet d. 16-03-2016.</t>
  </si>
  <si>
    <t>Kilder til futurepriser</t>
  </si>
  <si>
    <t>Brændsel: træpiller, fuelolie, stenkul.</t>
  </si>
  <si>
    <t>Brændsel: stenkul, fuelolie.
15 MW overlastevne.</t>
  </si>
  <si>
    <t>Brændsel: stenkul, fuelolie.
Kører ikke samtidig med blok 5 (betinget driftsklar).</t>
  </si>
  <si>
    <t>Brændsel: stenkul, fuelolie.
10 MW overlastevne.
Ombygges til at kunne producere varme baseret på træpiller og halm i stedet for kul fra primo 2017.</t>
  </si>
  <si>
    <t>Brændsel: træpiller, halm, naturgas, fuelolie.
Kapacitet på hovedkedlen er 360 MW.</t>
  </si>
  <si>
    <t>Brændsel: naturgas.</t>
  </si>
  <si>
    <t>Brændsel: letolie.
Reserveanlæg.</t>
  </si>
  <si>
    <t>Fra og med 2017 reduceres den samlede decentrale kraftværkskapacitet. Dette skyldes dels forventede ændringer i tilskudsordningen og dermed lukninger samt omlægninger til ren varmeproduktion.</t>
  </si>
  <si>
    <t>Brændsel: letolie.
Reserveanlæg. 
Betinget driftsklar stand med 6 ugers startvarsel.</t>
  </si>
  <si>
    <t>Brændsel: stenkul, fuelolie.
30 MW overlastevne.</t>
  </si>
  <si>
    <t>Brændsel: naturgas, letolie.
40 MW overlastevne.</t>
  </si>
  <si>
    <t>Brændsel: stenkul, halm, fuelolie.
20 MW overlastevne.
Levetidsforlænget og ombygges til at fyre med træpiller primo 2017. Kører ikke samtidig med blok 4 (betinget driftsklar).</t>
  </si>
  <si>
    <t>Brændsel: træflis, træpiller, naturgas.</t>
  </si>
  <si>
    <t>Fra og med 2017 reduceres den samlede decentrale kraftværkskapacitet. Dette skyldes dels forventede ændringer i tilskudsordningen og dermed lukninger samt omlægninger til ren varmeproduktion.
Randersværket på 52 MW er holdt uden for denne beregning.</t>
  </si>
  <si>
    <t>Nettoopsætning DK1 + DK2 (MW)</t>
  </si>
  <si>
    <t>Andel af bruttoopsætning i DK1</t>
  </si>
  <si>
    <t>Kapacitet vind (MW) - sammenligning mellem AF2016 og AF2015</t>
  </si>
  <si>
    <t>Årlig produktion vind (GWh) - sammenligning mellem AF2016 og AF2015</t>
  </si>
  <si>
    <t>Fuldlasttimer for landvind</t>
  </si>
  <si>
    <t>Udviklingsforløb</t>
  </si>
  <si>
    <t>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</si>
</sst>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 * #,##0.00_ ;_ * \-#,##0.00_ ;_ * &quot;-&quot;??_ ;_ @_ "/>
    <numFmt numFmtId="164" formatCode="_(* #,##0.00_);_(* \(#,##0.00\);_(* &quot;-&quot;??_);_(@_)"/>
    <numFmt numFmtId="165" formatCode="0.0%"/>
    <numFmt numFmtId="166" formatCode="#,##0.0"/>
    <numFmt numFmtId="167" formatCode="0.0"/>
    <numFmt numFmtId="168" formatCode="0.000"/>
    <numFmt numFmtId="169" formatCode="0.000000"/>
    <numFmt numFmtId="170" formatCode="_(* #,##0_);_(* \(#,##0\);_(* &quot;-&quot;??_);_(@_)"/>
    <numFmt numFmtId="171" formatCode="_-* #,##0.00_-;\-* #,##0.00_-;_-* &quot;-&quot;??_-;_-@_-"/>
    <numFmt numFmtId="172" formatCode="#,##0;#\ ##0"/>
    <numFmt numFmtId="173" formatCode="dd\.mm;@"/>
  </numFmts>
  <fonts count="10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u/>
      <sz val="10"/>
      <color indexed="12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4"/>
      <name val="Arial"/>
      <family val="2"/>
    </font>
    <font>
      <b/>
      <sz val="14"/>
      <name val="Arial"/>
      <family val="2"/>
    </font>
    <font>
      <sz val="8"/>
      <color indexed="9"/>
      <name val="Verdana"/>
      <family val="2"/>
    </font>
    <font>
      <u/>
      <sz val="8"/>
      <name val="Verdana"/>
      <family val="2"/>
    </font>
    <font>
      <b/>
      <sz val="12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sz val="9"/>
      <color rgb="FF000000"/>
      <name val="Verdana"/>
      <family val="2"/>
    </font>
    <font>
      <sz val="8"/>
      <color rgb="FF000000"/>
      <name val="Verdana"/>
      <family val="2"/>
    </font>
    <font>
      <sz val="10"/>
      <color theme="7" tint="0.79998168889431442"/>
      <name val="Arial"/>
      <family val="2"/>
    </font>
    <font>
      <b/>
      <sz val="8"/>
      <color rgb="FF000000"/>
      <name val="Verdana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sz val="11"/>
      <color rgb="FF9C6500"/>
      <name val="Calibri"/>
      <family val="2"/>
      <scheme val="minor"/>
    </font>
    <font>
      <b/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name val="Arial"/>
      <family val="2"/>
    </font>
    <font>
      <sz val="6"/>
      <name val="Arial"/>
      <family val="2"/>
    </font>
    <font>
      <sz val="10"/>
      <color theme="5"/>
      <name val="Arial"/>
      <family val="2"/>
    </font>
    <font>
      <u/>
      <sz val="11"/>
      <color theme="10"/>
      <name val="Calibri"/>
      <family val="2"/>
      <scheme val="minor"/>
    </font>
    <font>
      <sz val="9"/>
      <name val="Geneva"/>
    </font>
    <font>
      <sz val="8"/>
      <color indexed="8"/>
      <name val="Arial"/>
      <family val="2"/>
    </font>
    <font>
      <sz val="18"/>
      <color theme="3"/>
      <name val="Cambria"/>
      <family val="2"/>
      <scheme val="major"/>
    </font>
    <font>
      <sz val="7"/>
      <name val="Arial"/>
      <family val="2"/>
    </font>
    <font>
      <u/>
      <sz val="8"/>
      <color indexed="12"/>
      <name val="Arial"/>
      <family val="2"/>
    </font>
    <font>
      <sz val="7"/>
      <color indexed="8"/>
      <name val="Arial"/>
      <family val="2"/>
    </font>
    <font>
      <b/>
      <sz val="7"/>
      <color indexed="9"/>
      <name val="Arial"/>
      <family val="2"/>
    </font>
    <font>
      <sz val="6.5"/>
      <name val="Arial"/>
      <family val="2"/>
    </font>
    <font>
      <b/>
      <sz val="8.5"/>
      <color indexed="50"/>
      <name val="Arial"/>
      <family val="2"/>
    </font>
    <font>
      <b/>
      <sz val="7"/>
      <name val="Arial"/>
      <family val="2"/>
    </font>
    <font>
      <sz val="14"/>
      <color indexed="5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45"/>
      <name val="Arial"/>
      <family val="2"/>
    </font>
    <font>
      <b/>
      <sz val="7"/>
      <color indexed="45"/>
      <name val="Arial"/>
      <family val="2"/>
    </font>
    <font>
      <sz val="10"/>
      <name val="Arial"/>
      <family val="2"/>
      <charset val="1"/>
    </font>
    <font>
      <sz val="8"/>
      <color rgb="FF006100"/>
      <name val="Verdana"/>
      <family val="2"/>
    </font>
    <font>
      <sz val="8"/>
      <color theme="0"/>
      <name val="Verdana"/>
      <family val="2"/>
    </font>
    <font>
      <sz val="10"/>
      <color rgb="FF3F3F76"/>
      <name val="Arial"/>
      <family val="2"/>
    </font>
    <font>
      <i/>
      <sz val="8"/>
      <name val="Verdana"/>
      <family val="2"/>
    </font>
    <font>
      <i/>
      <sz val="10"/>
      <color rgb="FF7F7F7F"/>
      <name val="Arial"/>
      <family val="2"/>
    </font>
    <font>
      <b/>
      <sz val="8"/>
      <color rgb="FF006100"/>
      <name val="Verdana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bscript"/>
      <sz val="8"/>
      <name val="Verdana"/>
      <family val="2"/>
    </font>
    <font>
      <b/>
      <vertAlign val="subscript"/>
      <sz val="8"/>
      <name val="Verdana"/>
      <family val="2"/>
    </font>
    <font>
      <b/>
      <sz val="9.5"/>
      <name val="Verdana"/>
      <family val="2"/>
    </font>
    <font>
      <b/>
      <vertAlign val="superscript"/>
      <sz val="8"/>
      <name val="Verdana"/>
      <family val="2"/>
    </font>
    <font>
      <vertAlign val="subscript"/>
      <sz val="8"/>
      <color indexed="8"/>
      <name val="Verdana"/>
      <family val="2"/>
    </font>
  </fonts>
  <fills count="7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</patternFill>
    </fill>
    <fill>
      <patternFill patternType="solid">
        <fgColor theme="0" tint="-4.9989318521683403E-2"/>
        <bgColor indexed="64"/>
      </patternFill>
    </fill>
  </fills>
  <borders count="10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5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5"/>
      </top>
      <bottom style="thin">
        <color indexed="45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dotted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dotted">
        <color indexed="64"/>
      </bottom>
      <diagonal/>
    </border>
    <border>
      <left style="thin">
        <color rgb="FF000000"/>
      </left>
      <right/>
      <top/>
      <bottom style="dotted">
        <color indexed="64"/>
      </bottom>
      <diagonal/>
    </border>
    <border>
      <left/>
      <right style="thin">
        <color rgb="FF000000"/>
      </right>
      <top style="dotted">
        <color indexed="64"/>
      </top>
      <bottom/>
      <diagonal/>
    </border>
    <border>
      <left style="thin">
        <color rgb="FF000000"/>
      </left>
      <right/>
      <top style="dotted">
        <color indexed="64"/>
      </top>
      <bottom/>
      <diagonal/>
    </border>
    <border>
      <left style="thin">
        <color indexed="64"/>
      </left>
      <right style="thin">
        <color rgb="FF000000"/>
      </right>
      <top style="dotted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 style="dotted">
        <color indexed="64"/>
      </bottom>
      <diagonal/>
    </border>
    <border>
      <left style="thin">
        <color rgb="FF000000"/>
      </left>
      <right/>
      <top style="dotted">
        <color indexed="64"/>
      </top>
      <bottom style="thin">
        <color rgb="FF000000"/>
      </bottom>
      <diagonal/>
    </border>
    <border>
      <left/>
      <right style="thin">
        <color rgb="FF000000"/>
      </right>
      <top style="dotted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75">
    <xf numFmtId="0" fontId="0" fillId="0" borderId="0"/>
    <xf numFmtId="0" fontId="91" fillId="4" borderId="0" applyNumberFormat="0" applyBorder="0" applyAlignment="0" applyProtection="0"/>
    <xf numFmtId="164" fontId="12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38" fillId="9" borderId="0" applyNumberFormat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20" applyNumberFormat="0" applyFill="0" applyAlignment="0" applyProtection="0"/>
    <xf numFmtId="0" fontId="47" fillId="0" borderId="21" applyNumberFormat="0" applyFill="0" applyAlignment="0" applyProtection="0"/>
    <xf numFmtId="0" fontId="48" fillId="0" borderId="22" applyNumberFormat="0" applyFill="0" applyAlignment="0" applyProtection="0"/>
    <xf numFmtId="0" fontId="48" fillId="0" borderId="0" applyNumberFormat="0" applyFill="0" applyBorder="0" applyAlignment="0" applyProtection="0"/>
    <xf numFmtId="0" fontId="49" fillId="12" borderId="0" applyNumberFormat="0" applyBorder="0" applyAlignment="0" applyProtection="0"/>
    <xf numFmtId="0" fontId="93" fillId="13" borderId="23" applyNumberFormat="0" applyAlignment="0" applyProtection="0"/>
    <xf numFmtId="0" fontId="50" fillId="14" borderId="24" applyNumberFormat="0" applyAlignment="0" applyProtection="0"/>
    <xf numFmtId="0" fontId="51" fillId="14" borderId="23" applyNumberFormat="0" applyAlignment="0" applyProtection="0"/>
    <xf numFmtId="0" fontId="52" fillId="0" borderId="25" applyNumberFormat="0" applyFill="0" applyAlignment="0" applyProtection="0"/>
    <xf numFmtId="0" fontId="53" fillId="15" borderId="26" applyNumberFormat="0" applyAlignment="0" applyProtection="0"/>
    <xf numFmtId="0" fontId="37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43" fillId="0" borderId="28" applyNumberFormat="0" applyFill="0" applyAlignment="0" applyProtection="0"/>
    <xf numFmtId="0" fontId="55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55" fillId="40" borderId="0" applyNumberFormat="0" applyBorder="0" applyAlignment="0" applyProtection="0"/>
    <xf numFmtId="0" fontId="11" fillId="0" borderId="0"/>
    <xf numFmtId="0" fontId="11" fillId="16" borderId="27" applyNumberFormat="0" applyFont="0" applyAlignment="0" applyProtection="0"/>
    <xf numFmtId="0" fontId="10" fillId="0" borderId="0"/>
    <xf numFmtId="43" fontId="12" fillId="0" borderId="0" applyFont="0" applyFill="0" applyBorder="0" applyAlignment="0" applyProtection="0"/>
    <xf numFmtId="0" fontId="12" fillId="0" borderId="0"/>
    <xf numFmtId="0" fontId="14" fillId="41" borderId="18" applyNumberFormat="0" applyProtection="0">
      <alignment horizontal="right"/>
    </xf>
    <xf numFmtId="1" fontId="12" fillId="0" borderId="18" applyFill="0" applyProtection="0">
      <alignment horizontal="right" vertical="top" wrapText="1"/>
    </xf>
    <xf numFmtId="0" fontId="12" fillId="0" borderId="18" applyFill="0" applyProtection="0">
      <alignment horizontal="right" vertical="top" wrapText="1"/>
    </xf>
    <xf numFmtId="0" fontId="9" fillId="0" borderId="0"/>
    <xf numFmtId="9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3" fillId="0" borderId="0" applyFill="0" applyBorder="0"/>
    <xf numFmtId="164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" fillId="16" borderId="27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62" fillId="0" borderId="0" applyNumberFormat="0" applyFill="0" applyBorder="0" applyAlignment="0" applyProtection="0"/>
    <xf numFmtId="0" fontId="70" fillId="0" borderId="0"/>
    <xf numFmtId="0" fontId="57" fillId="0" borderId="0">
      <alignment horizontal="right"/>
    </xf>
    <xf numFmtId="0" fontId="68" fillId="0" borderId="0"/>
    <xf numFmtId="0" fontId="61" fillId="0" borderId="0"/>
    <xf numFmtId="0" fontId="66" fillId="0" borderId="0"/>
    <xf numFmtId="0" fontId="69" fillId="0" borderId="31" applyNumberFormat="0" applyAlignment="0"/>
    <xf numFmtId="0" fontId="63" fillId="0" borderId="0" applyAlignment="0">
      <alignment horizontal="left"/>
    </xf>
    <xf numFmtId="0" fontId="63" fillId="0" borderId="0">
      <alignment horizontal="right"/>
    </xf>
    <xf numFmtId="165" fontId="63" fillId="0" borderId="0">
      <alignment horizontal="right"/>
    </xf>
    <xf numFmtId="167" fontId="65" fillId="0" borderId="0">
      <alignment horizontal="right"/>
    </xf>
    <xf numFmtId="0" fontId="67" fillId="0" borderId="0"/>
    <xf numFmtId="43" fontId="60" fillId="0" borderId="0" applyFon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165" fontId="60" fillId="0" borderId="0" applyFont="0" applyFill="0" applyBorder="0" applyAlignment="0" applyProtection="0"/>
    <xf numFmtId="171" fontId="7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3" fillId="0" borderId="0" applyFill="0" applyBorder="0"/>
    <xf numFmtId="43" fontId="60" fillId="0" borderId="0" applyFont="0" applyFill="0" applyBorder="0" applyAlignment="0" applyProtection="0"/>
    <xf numFmtId="0" fontId="71" fillId="49" borderId="0" applyNumberFormat="0" applyBorder="0" applyAlignment="0" applyProtection="0"/>
    <xf numFmtId="0" fontId="71" fillId="50" borderId="0" applyNumberFormat="0" applyBorder="0" applyAlignment="0" applyProtection="0"/>
    <xf numFmtId="0" fontId="71" fillId="51" borderId="0" applyNumberFormat="0" applyBorder="0" applyAlignment="0" applyProtection="0"/>
    <xf numFmtId="0" fontId="71" fillId="52" borderId="0" applyNumberFormat="0" applyBorder="0" applyAlignment="0" applyProtection="0"/>
    <xf numFmtId="0" fontId="71" fillId="53" borderId="0" applyNumberFormat="0" applyBorder="0" applyAlignment="0" applyProtection="0"/>
    <xf numFmtId="0" fontId="71" fillId="54" borderId="0" applyNumberFormat="0" applyBorder="0" applyAlignment="0" applyProtection="0"/>
    <xf numFmtId="0" fontId="71" fillId="55" borderId="0" applyNumberFormat="0" applyBorder="0" applyAlignment="0" applyProtection="0"/>
    <xf numFmtId="0" fontId="71" fillId="56" borderId="0" applyNumberFormat="0" applyBorder="0" applyAlignment="0" applyProtection="0"/>
    <xf numFmtId="0" fontId="71" fillId="57" borderId="0" applyNumberFormat="0" applyBorder="0" applyAlignment="0" applyProtection="0"/>
    <xf numFmtId="0" fontId="71" fillId="52" borderId="0" applyNumberFormat="0" applyBorder="0" applyAlignment="0" applyProtection="0"/>
    <xf numFmtId="0" fontId="71" fillId="55" borderId="0" applyNumberFormat="0" applyBorder="0" applyAlignment="0" applyProtection="0"/>
    <xf numFmtId="0" fontId="71" fillId="58" borderId="0" applyNumberFormat="0" applyBorder="0" applyAlignment="0" applyProtection="0"/>
    <xf numFmtId="0" fontId="72" fillId="59" borderId="0" applyNumberFormat="0" applyBorder="0" applyAlignment="0" applyProtection="0"/>
    <xf numFmtId="0" fontId="72" fillId="56" borderId="0" applyNumberFormat="0" applyBorder="0" applyAlignment="0" applyProtection="0"/>
    <xf numFmtId="0" fontId="72" fillId="57" borderId="0" applyNumberFormat="0" applyBorder="0" applyAlignment="0" applyProtection="0"/>
    <xf numFmtId="0" fontId="72" fillId="60" borderId="0" applyNumberFormat="0" applyBorder="0" applyAlignment="0" applyProtection="0"/>
    <xf numFmtId="0" fontId="72" fillId="61" borderId="0" applyNumberFormat="0" applyBorder="0" applyAlignment="0" applyProtection="0"/>
    <xf numFmtId="0" fontId="72" fillId="62" borderId="0" applyNumberFormat="0" applyBorder="0" applyAlignment="0" applyProtection="0"/>
    <xf numFmtId="0" fontId="72" fillId="63" borderId="0" applyNumberFormat="0" applyBorder="0" applyAlignment="0" applyProtection="0"/>
    <xf numFmtId="0" fontId="72" fillId="64" borderId="0" applyNumberFormat="0" applyBorder="0" applyAlignment="0" applyProtection="0"/>
    <xf numFmtId="0" fontId="72" fillId="65" borderId="0" applyNumberFormat="0" applyBorder="0" applyAlignment="0" applyProtection="0"/>
    <xf numFmtId="0" fontId="72" fillId="60" borderId="0" applyNumberFormat="0" applyBorder="0" applyAlignment="0" applyProtection="0"/>
    <xf numFmtId="0" fontId="72" fillId="61" borderId="0" applyNumberFormat="0" applyBorder="0" applyAlignment="0" applyProtection="0"/>
    <xf numFmtId="0" fontId="72" fillId="66" borderId="0" applyNumberFormat="0" applyBorder="0" applyAlignment="0" applyProtection="0"/>
    <xf numFmtId="0" fontId="73" fillId="50" borderId="0" applyNumberFormat="0" applyBorder="0" applyAlignment="0" applyProtection="0"/>
    <xf numFmtId="0" fontId="74" fillId="67" borderId="32" applyNumberFormat="0" applyAlignment="0" applyProtection="0"/>
    <xf numFmtId="0" fontId="75" fillId="68" borderId="33" applyNumberFormat="0" applyAlignment="0" applyProtection="0"/>
    <xf numFmtId="0" fontId="76" fillId="0" borderId="0" applyNumberFormat="0" applyFill="0" applyBorder="0" applyAlignment="0" applyProtection="0"/>
    <xf numFmtId="0" fontId="77" fillId="51" borderId="0" applyNumberFormat="0" applyBorder="0" applyAlignment="0" applyProtection="0"/>
    <xf numFmtId="0" fontId="78" fillId="0" borderId="34" applyNumberFormat="0" applyFill="0" applyAlignment="0" applyProtection="0"/>
    <xf numFmtId="0" fontId="79" fillId="0" borderId="35" applyNumberFormat="0" applyFill="0" applyAlignment="0" applyProtection="0"/>
    <xf numFmtId="0" fontId="80" fillId="0" borderId="36" applyNumberFormat="0" applyFill="0" applyAlignment="0" applyProtection="0"/>
    <xf numFmtId="0" fontId="80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81" fillId="54" borderId="32" applyNumberFormat="0" applyAlignment="0" applyProtection="0"/>
    <xf numFmtId="0" fontId="82" fillId="0" borderId="37" applyNumberFormat="0" applyFill="0" applyAlignment="0" applyProtection="0"/>
    <xf numFmtId="0" fontId="83" fillId="69" borderId="0" applyNumberFormat="0" applyBorder="0" applyAlignment="0" applyProtection="0"/>
    <xf numFmtId="0" fontId="12" fillId="70" borderId="30" applyNumberFormat="0" applyFont="0" applyAlignment="0" applyProtection="0"/>
    <xf numFmtId="0" fontId="84" fillId="67" borderId="38" applyNumberFormat="0" applyAlignment="0" applyProtection="0"/>
    <xf numFmtId="0" fontId="85" fillId="0" borderId="0" applyNumberFormat="0" applyFill="0" applyBorder="0" applyAlignment="0" applyProtection="0"/>
    <xf numFmtId="0" fontId="86" fillId="0" borderId="39" applyNumberFormat="0" applyFill="0" applyAlignment="0" applyProtection="0"/>
    <xf numFmtId="0" fontId="87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89" fillId="0" borderId="40" applyNumberFormat="0">
      <alignment vertical="center"/>
    </xf>
    <xf numFmtId="172" fontId="88" fillId="0" borderId="40">
      <alignment horizontal="right" vertical="center"/>
    </xf>
    <xf numFmtId="0" fontId="7" fillId="0" borderId="0"/>
    <xf numFmtId="9" fontId="7" fillId="0" borderId="0" applyFont="0" applyFill="0" applyBorder="0" applyAlignment="0" applyProtection="0"/>
    <xf numFmtId="0" fontId="12" fillId="0" borderId="0"/>
    <xf numFmtId="43" fontId="7" fillId="0" borderId="0" applyFont="0" applyFill="0" applyBorder="0" applyAlignment="0" applyProtection="0"/>
    <xf numFmtId="0" fontId="90" fillId="0" borderId="0" applyBorder="0">
      <protection locked="0"/>
    </xf>
    <xf numFmtId="0" fontId="6" fillId="0" borderId="0"/>
    <xf numFmtId="43" fontId="6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6" fillId="0" borderId="0"/>
    <xf numFmtId="0" fontId="6" fillId="16" borderId="27" applyNumberFormat="0" applyFont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16" borderId="2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0" fontId="36" fillId="0" borderId="0"/>
    <xf numFmtId="0" fontId="3" fillId="0" borderId="0"/>
    <xf numFmtId="0" fontId="3" fillId="16" borderId="2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27" applyNumberFormat="0" applyFon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6" borderId="2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27" applyNumberFormat="0" applyFon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6" borderId="2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16" borderId="2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6" borderId="2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6" borderId="27" applyNumberFormat="0" applyFont="0" applyAlignment="0" applyProtection="0"/>
    <xf numFmtId="0" fontId="1" fillId="16" borderId="27" applyNumberFormat="0" applyFont="0" applyAlignment="0" applyProtection="0"/>
    <xf numFmtId="0" fontId="1" fillId="16" borderId="27" applyNumberFormat="0" applyFont="0" applyAlignment="0" applyProtection="0"/>
    <xf numFmtId="0" fontId="1" fillId="16" borderId="27" applyNumberFormat="0" applyFont="0" applyAlignment="0" applyProtection="0"/>
    <xf numFmtId="0" fontId="1" fillId="16" borderId="27" applyNumberFormat="0" applyFont="0" applyAlignment="0" applyProtection="0"/>
    <xf numFmtId="0" fontId="1" fillId="16" borderId="27" applyNumberFormat="0" applyFont="0" applyAlignment="0" applyProtection="0"/>
    <xf numFmtId="0" fontId="1" fillId="16" borderId="27" applyNumberFormat="0" applyFont="0" applyAlignment="0" applyProtection="0"/>
    <xf numFmtId="0" fontId="1" fillId="16" borderId="27" applyNumberFormat="0" applyFont="0" applyAlignment="0" applyProtection="0"/>
    <xf numFmtId="0" fontId="1" fillId="16" borderId="27" applyNumberFormat="0" applyFont="0" applyAlignment="0" applyProtection="0"/>
    <xf numFmtId="0" fontId="1" fillId="16" borderId="27" applyNumberFormat="0" applyFont="0" applyAlignment="0" applyProtection="0"/>
    <xf numFmtId="0" fontId="1" fillId="16" borderId="27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77" borderId="18" applyNumberFormat="0">
      <protection locked="0"/>
    </xf>
  </cellStyleXfs>
  <cellXfs count="897">
    <xf numFmtId="0" fontId="0" fillId="0" borderId="0" xfId="0"/>
    <xf numFmtId="10" fontId="0" fillId="0" borderId="0" xfId="0" applyNumberFormat="1"/>
    <xf numFmtId="0" fontId="16" fillId="0" borderId="0" xfId="0" applyFont="1" applyFill="1" applyBorder="1"/>
    <xf numFmtId="3" fontId="0" fillId="0" borderId="0" xfId="0" applyNumberFormat="1"/>
    <xf numFmtId="0" fontId="0" fillId="0" borderId="0" xfId="0" applyBorder="1"/>
    <xf numFmtId="0" fontId="16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3" fontId="16" fillId="0" borderId="6" xfId="0" applyNumberFormat="1" applyFont="1" applyBorder="1" applyAlignment="1">
      <alignment horizontal="center"/>
    </xf>
    <xf numFmtId="3" fontId="16" fillId="0" borderId="7" xfId="0" applyNumberFormat="1" applyFont="1" applyBorder="1" applyAlignment="1">
      <alignment horizontal="center"/>
    </xf>
    <xf numFmtId="3" fontId="16" fillId="0" borderId="8" xfId="0" applyNumberFormat="1" applyFont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/>
    </xf>
    <xf numFmtId="3" fontId="16" fillId="0" borderId="6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justify" vertical="top" wrapText="1"/>
    </xf>
    <xf numFmtId="0" fontId="0" fillId="0" borderId="0" xfId="0" applyFill="1"/>
    <xf numFmtId="0" fontId="0" fillId="0" borderId="0" xfId="0" applyFill="1" applyBorder="1"/>
    <xf numFmtId="0" fontId="15" fillId="0" borderId="5" xfId="0" applyFont="1" applyFill="1" applyBorder="1" applyAlignment="1">
      <alignment horizontal="center"/>
    </xf>
    <xf numFmtId="0" fontId="16" fillId="0" borderId="0" xfId="0" applyFont="1" applyBorder="1"/>
    <xf numFmtId="0" fontId="16" fillId="0" borderId="0" xfId="0" applyFont="1"/>
    <xf numFmtId="0" fontId="14" fillId="0" borderId="0" xfId="0" applyFont="1"/>
    <xf numFmtId="0" fontId="15" fillId="0" borderId="0" xfId="0" applyFont="1" applyFill="1" applyBorder="1" applyAlignment="1">
      <alignment horizontal="center" vertical="top" wrapText="1"/>
    </xf>
    <xf numFmtId="3" fontId="15" fillId="0" borderId="0" xfId="0" applyNumberFormat="1" applyFont="1" applyBorder="1" applyAlignment="1">
      <alignment horizontal="center"/>
    </xf>
    <xf numFmtId="0" fontId="17" fillId="0" borderId="0" xfId="3" applyAlignment="1" applyProtection="1"/>
    <xf numFmtId="0" fontId="24" fillId="2" borderId="0" xfId="0" applyFont="1" applyFill="1" applyAlignment="1">
      <alignment horizontal="center"/>
    </xf>
    <xf numFmtId="0" fontId="0" fillId="2" borderId="0" xfId="0" applyFill="1"/>
    <xf numFmtId="0" fontId="25" fillId="2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 wrapText="1"/>
    </xf>
    <xf numFmtId="3" fontId="16" fillId="0" borderId="12" xfId="0" applyNumberFormat="1" applyFont="1" applyFill="1" applyBorder="1" applyAlignment="1">
      <alignment horizontal="center" wrapText="1"/>
    </xf>
    <xf numFmtId="3" fontId="16" fillId="0" borderId="15" xfId="0" applyNumberFormat="1" applyFont="1" applyFill="1" applyBorder="1" applyAlignment="1">
      <alignment horizontal="center" wrapText="1"/>
    </xf>
    <xf numFmtId="1" fontId="0" fillId="0" borderId="0" xfId="0" applyNumberFormat="1"/>
    <xf numFmtId="1" fontId="0" fillId="0" borderId="0" xfId="0" applyNumberFormat="1" applyBorder="1"/>
    <xf numFmtId="0" fontId="0" fillId="0" borderId="6" xfId="0" applyBorder="1"/>
    <xf numFmtId="1" fontId="0" fillId="0" borderId="0" xfId="0" applyNumberFormat="1" applyFill="1"/>
    <xf numFmtId="1" fontId="0" fillId="0" borderId="0" xfId="0" applyNumberFormat="1" applyFill="1" applyBorder="1"/>
    <xf numFmtId="1" fontId="14" fillId="0" borderId="0" xfId="0" applyNumberFormat="1" applyFont="1" applyFill="1" applyBorder="1"/>
    <xf numFmtId="1" fontId="14" fillId="0" borderId="0" xfId="0" applyNumberFormat="1" applyFont="1"/>
    <xf numFmtId="1" fontId="14" fillId="0" borderId="18" xfId="0" applyNumberFormat="1" applyFont="1" applyFill="1" applyBorder="1"/>
    <xf numFmtId="3" fontId="14" fillId="0" borderId="18" xfId="0" applyNumberFormat="1" applyFont="1" applyBorder="1"/>
    <xf numFmtId="3" fontId="0" fillId="0" borderId="18" xfId="0" applyNumberFormat="1" applyBorder="1"/>
    <xf numFmtId="0" fontId="18" fillId="0" borderId="0" xfId="0" applyFont="1"/>
    <xf numFmtId="0" fontId="0" fillId="0" borderId="0" xfId="0" applyAlignment="1">
      <alignment horizontal="left"/>
    </xf>
    <xf numFmtId="1" fontId="28" fillId="0" borderId="0" xfId="0" applyNumberFormat="1" applyFont="1" applyFill="1" applyBorder="1"/>
    <xf numFmtId="2" fontId="0" fillId="0" borderId="0" xfId="0" applyNumberFormat="1" applyBorder="1"/>
    <xf numFmtId="2" fontId="0" fillId="0" borderId="0" xfId="0" applyNumberFormat="1"/>
    <xf numFmtId="0" fontId="14" fillId="0" borderId="4" xfId="0" applyFont="1" applyBorder="1"/>
    <xf numFmtId="3" fontId="0" fillId="0" borderId="0" xfId="0" applyNumberFormat="1" applyFill="1" applyBorder="1"/>
    <xf numFmtId="1" fontId="91" fillId="4" borderId="18" xfId="1" applyNumberFormat="1" applyBorder="1"/>
    <xf numFmtId="1" fontId="12" fillId="0" borderId="18" xfId="0" applyNumberFormat="1" applyFont="1" applyFill="1" applyBorder="1"/>
    <xf numFmtId="0" fontId="16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3" fontId="0" fillId="0" borderId="6" xfId="0" applyNumberFormat="1" applyBorder="1"/>
    <xf numFmtId="1" fontId="16" fillId="0" borderId="17" xfId="0" applyNumberFormat="1" applyFont="1" applyBorder="1" applyAlignment="1">
      <alignment horizontal="center"/>
    </xf>
    <xf numFmtId="165" fontId="0" fillId="0" borderId="0" xfId="0" applyNumberFormat="1"/>
    <xf numFmtId="0" fontId="24" fillId="2" borderId="0" xfId="0" quotePrefix="1" applyFont="1" applyFill="1" applyAlignment="1">
      <alignment horizontal="center"/>
    </xf>
    <xf numFmtId="0" fontId="32" fillId="0" borderId="0" xfId="0" applyFont="1" applyFill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2" fontId="0" fillId="0" borderId="0" xfId="0" applyNumberFormat="1" applyAlignment="1">
      <alignment wrapText="1"/>
    </xf>
    <xf numFmtId="2" fontId="0" fillId="0" borderId="0" xfId="0" applyNumberFormat="1" applyFill="1" applyBorder="1"/>
    <xf numFmtId="0" fontId="15" fillId="0" borderId="4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justify" vertical="top" wrapText="1"/>
    </xf>
    <xf numFmtId="0" fontId="16" fillId="0" borderId="18" xfId="0" applyFont="1" applyBorder="1" applyAlignment="1">
      <alignment horizontal="center" vertical="center" wrapText="1"/>
    </xf>
    <xf numFmtId="3" fontId="14" fillId="0" borderId="4" xfId="0" applyNumberFormat="1" applyFont="1" applyBorder="1"/>
    <xf numFmtId="3" fontId="0" fillId="0" borderId="7" xfId="0" applyNumberFormat="1" applyBorder="1"/>
    <xf numFmtId="3" fontId="16" fillId="0" borderId="11" xfId="0" applyNumberFormat="1" applyFont="1" applyBorder="1" applyAlignment="1">
      <alignment horizontal="center"/>
    </xf>
    <xf numFmtId="0" fontId="37" fillId="0" borderId="0" xfId="0" applyFont="1"/>
    <xf numFmtId="0" fontId="15" fillId="0" borderId="5" xfId="0" applyFont="1" applyFill="1" applyBorder="1" applyAlignment="1">
      <alignment horizontal="center" vertical="center"/>
    </xf>
    <xf numFmtId="3" fontId="0" fillId="0" borderId="0" xfId="0" applyNumberFormat="1" applyBorder="1"/>
    <xf numFmtId="3" fontId="14" fillId="0" borderId="0" xfId="0" applyNumberFormat="1" applyFont="1" applyBorder="1"/>
    <xf numFmtId="0" fontId="17" fillId="2" borderId="0" xfId="3" applyFill="1" applyAlignment="1" applyProtection="1"/>
    <xf numFmtId="0" fontId="16" fillId="0" borderId="0" xfId="4" applyFont="1"/>
    <xf numFmtId="0" fontId="0" fillId="0" borderId="0" xfId="0" applyAlignment="1">
      <alignment horizontal="center"/>
    </xf>
    <xf numFmtId="0" fontId="12" fillId="0" borderId="0" xfId="0" applyFont="1" applyBorder="1"/>
    <xf numFmtId="0" fontId="0" fillId="0" borderId="0" xfId="0" applyAlignment="1"/>
    <xf numFmtId="0" fontId="12" fillId="0" borderId="0" xfId="0" applyFont="1" applyFill="1"/>
    <xf numFmtId="166" fontId="16" fillId="0" borderId="7" xfId="0" applyNumberFormat="1" applyFont="1" applyBorder="1" applyAlignment="1">
      <alignment horizontal="center"/>
    </xf>
    <xf numFmtId="0" fontId="0" fillId="0" borderId="0" xfId="0"/>
    <xf numFmtId="3" fontId="0" fillId="0" borderId="0" xfId="0" applyNumberFormat="1"/>
    <xf numFmtId="0" fontId="14" fillId="0" borderId="0" xfId="0" applyFont="1"/>
    <xf numFmtId="0" fontId="12" fillId="0" borderId="0" xfId="0" applyFont="1"/>
    <xf numFmtId="9" fontId="40" fillId="42" borderId="18" xfId="1" applyNumberFormat="1" applyFont="1" applyFill="1" applyBorder="1"/>
    <xf numFmtId="9" fontId="0" fillId="0" borderId="0" xfId="0" applyNumberFormat="1" applyFill="1"/>
    <xf numFmtId="3" fontId="40" fillId="42" borderId="18" xfId="1" applyNumberFormat="1" applyFont="1" applyFill="1" applyBorder="1"/>
    <xf numFmtId="3" fontId="0" fillId="0" borderId="0" xfId="0" applyNumberFormat="1" applyFill="1"/>
    <xf numFmtId="1" fontId="91" fillId="0" borderId="18" xfId="1" applyNumberFormat="1" applyFill="1" applyBorder="1"/>
    <xf numFmtId="3" fontId="30" fillId="0" borderId="18" xfId="0" applyNumberFormat="1" applyFont="1" applyBorder="1"/>
    <xf numFmtId="3" fontId="12" fillId="0" borderId="18" xfId="0" applyNumberFormat="1" applyFont="1" applyFill="1" applyBorder="1"/>
    <xf numFmtId="3" fontId="12" fillId="0" borderId="18" xfId="0" applyNumberFormat="1" applyFont="1" applyBorder="1"/>
    <xf numFmtId="3" fontId="0" fillId="0" borderId="0" xfId="0" quotePrefix="1" applyNumberFormat="1"/>
    <xf numFmtId="3" fontId="0" fillId="0" borderId="13" xfId="0" applyNumberFormat="1" applyBorder="1"/>
    <xf numFmtId="3" fontId="14" fillId="0" borderId="0" xfId="0" applyNumberFormat="1" applyFont="1"/>
    <xf numFmtId="3" fontId="14" fillId="0" borderId="29" xfId="0" applyNumberFormat="1" applyFont="1" applyBorder="1"/>
    <xf numFmtId="3" fontId="14" fillId="0" borderId="15" xfId="0" applyNumberFormat="1" applyFont="1" applyBorder="1"/>
    <xf numFmtId="3" fontId="30" fillId="0" borderId="0" xfId="0" applyNumberFormat="1" applyFont="1" applyBorder="1"/>
    <xf numFmtId="3" fontId="0" fillId="0" borderId="18" xfId="0" applyNumberFormat="1" applyBorder="1" applyAlignment="1">
      <alignment horizontal="left"/>
    </xf>
    <xf numFmtId="3" fontId="0" fillId="0" borderId="18" xfId="0" applyNumberFormat="1" applyFill="1" applyBorder="1" applyAlignment="1">
      <alignment horizontal="left"/>
    </xf>
    <xf numFmtId="3" fontId="14" fillId="0" borderId="7" xfId="0" applyNumberFormat="1" applyFont="1" applyBorder="1"/>
    <xf numFmtId="3" fontId="13" fillId="0" borderId="0" xfId="0" applyNumberFormat="1" applyFont="1"/>
    <xf numFmtId="1" fontId="54" fillId="4" borderId="18" xfId="1" applyNumberFormat="1" applyFont="1" applyBorder="1"/>
    <xf numFmtId="3" fontId="29" fillId="0" borderId="7" xfId="0" applyNumberFormat="1" applyFont="1" applyBorder="1"/>
    <xf numFmtId="3" fontId="12" fillId="0" borderId="12" xfId="0" applyNumberFormat="1" applyFont="1" applyBorder="1"/>
    <xf numFmtId="3" fontId="12" fillId="0" borderId="7" xfId="0" applyNumberFormat="1" applyFont="1" applyBorder="1"/>
    <xf numFmtId="3" fontId="0" fillId="0" borderId="14" xfId="0" applyNumberFormat="1" applyBorder="1"/>
    <xf numFmtId="3" fontId="0" fillId="0" borderId="12" xfId="0" applyNumberFormat="1" applyBorder="1" applyAlignment="1">
      <alignment horizontal="left"/>
    </xf>
    <xf numFmtId="3" fontId="0" fillId="0" borderId="12" xfId="0" applyNumberFormat="1" applyFill="1" applyBorder="1" applyAlignment="1">
      <alignment horizontal="left"/>
    </xf>
    <xf numFmtId="3" fontId="12" fillId="0" borderId="14" xfId="0" applyNumberFormat="1" applyFont="1" applyFill="1" applyBorder="1"/>
    <xf numFmtId="3" fontId="12" fillId="0" borderId="7" xfId="0" applyNumberFormat="1" applyFont="1" applyFill="1" applyBorder="1"/>
    <xf numFmtId="1" fontId="14" fillId="0" borderId="0" xfId="0" applyNumberFormat="1" applyFont="1" applyBorder="1"/>
    <xf numFmtId="1" fontId="14" fillId="0" borderId="17" xfId="0" applyNumberFormat="1" applyFont="1" applyFill="1" applyBorder="1"/>
    <xf numFmtId="1" fontId="30" fillId="0" borderId="18" xfId="0" applyNumberFormat="1" applyFont="1" applyFill="1" applyBorder="1"/>
    <xf numFmtId="1" fontId="12" fillId="0" borderId="0" xfId="0" applyNumberFormat="1" applyFont="1"/>
    <xf numFmtId="3" fontId="14" fillId="10" borderId="29" xfId="0" applyNumberFormat="1" applyFont="1" applyFill="1" applyBorder="1"/>
    <xf numFmtId="1" fontId="12" fillId="0" borderId="13" xfId="0" applyNumberFormat="1" applyFont="1" applyBorder="1"/>
    <xf numFmtId="1" fontId="14" fillId="0" borderId="29" xfId="0" applyNumberFormat="1" applyFont="1" applyFill="1" applyBorder="1"/>
    <xf numFmtId="1" fontId="12" fillId="0" borderId="12" xfId="0" applyNumberFormat="1" applyFont="1" applyFill="1" applyBorder="1"/>
    <xf numFmtId="1" fontId="25" fillId="0" borderId="0" xfId="0" applyNumberFormat="1" applyFont="1" applyFill="1" applyBorder="1"/>
    <xf numFmtId="49" fontId="12" fillId="0" borderId="0" xfId="0" applyNumberFormat="1" applyFont="1" applyAlignment="1">
      <alignment horizontal="left" wrapText="1"/>
    </xf>
    <xf numFmtId="0" fontId="31" fillId="0" borderId="0" xfId="0" applyFont="1" applyAlignment="1">
      <alignment horizontal="right" vertical="center" wrapText="1"/>
    </xf>
    <xf numFmtId="2" fontId="31" fillId="0" borderId="0" xfId="0" applyNumberFormat="1" applyFont="1" applyAlignment="1">
      <alignment horizontal="right" vertical="center" wrapText="1"/>
    </xf>
    <xf numFmtId="1" fontId="12" fillId="0" borderId="0" xfId="0" applyNumberFormat="1" applyFont="1" applyFill="1"/>
    <xf numFmtId="3" fontId="16" fillId="0" borderId="7" xfId="0" applyNumberFormat="1" applyFont="1" applyFill="1" applyBorder="1" applyAlignment="1">
      <alignment horizontal="center"/>
    </xf>
    <xf numFmtId="3" fontId="16" fillId="0" borderId="8" xfId="0" applyNumberFormat="1" applyFont="1" applyFill="1" applyBorder="1" applyAlignment="1">
      <alignment horizontal="center"/>
    </xf>
    <xf numFmtId="3" fontId="16" fillId="0" borderId="11" xfId="0" applyNumberFormat="1" applyFont="1" applyFill="1" applyBorder="1" applyAlignment="1">
      <alignment horizontal="center"/>
    </xf>
    <xf numFmtId="0" fontId="0" fillId="0" borderId="0" xfId="0"/>
    <xf numFmtId="0" fontId="14" fillId="0" borderId="0" xfId="0" applyFont="1"/>
    <xf numFmtId="0" fontId="12" fillId="0" borderId="0" xfId="0" applyFont="1"/>
    <xf numFmtId="0" fontId="17" fillId="0" borderId="0" xfId="3" applyAlignment="1" applyProtection="1"/>
    <xf numFmtId="14" fontId="0" fillId="0" borderId="0" xfId="0" applyNumberFormat="1"/>
    <xf numFmtId="1" fontId="16" fillId="0" borderId="0" xfId="0" applyNumberFormat="1" applyFont="1" applyBorder="1" applyAlignment="1">
      <alignment horizontal="center"/>
    </xf>
    <xf numFmtId="3" fontId="16" fillId="0" borderId="10" xfId="0" applyNumberFormat="1" applyFont="1" applyBorder="1" applyAlignment="1">
      <alignment horizontal="center"/>
    </xf>
    <xf numFmtId="1" fontId="12" fillId="0" borderId="0" xfId="0" applyNumberFormat="1" applyFont="1" applyBorder="1"/>
    <xf numFmtId="0" fontId="16" fillId="0" borderId="0" xfId="0" applyFont="1" applyFill="1" applyBorder="1" applyAlignment="1"/>
    <xf numFmtId="3" fontId="15" fillId="0" borderId="0" xfId="0" applyNumberFormat="1" applyFont="1" applyFill="1" applyBorder="1" applyAlignment="1">
      <alignment horizontal="center" wrapText="1"/>
    </xf>
    <xf numFmtId="0" fontId="16" fillId="0" borderId="0" xfId="0" applyFont="1" applyBorder="1" applyAlignment="1"/>
    <xf numFmtId="0" fontId="22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center" vertical="center"/>
    </xf>
    <xf numFmtId="0" fontId="17" fillId="0" borderId="0" xfId="3" applyFill="1" applyAlignment="1" applyProtection="1"/>
    <xf numFmtId="0" fontId="16" fillId="0" borderId="8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16" fillId="0" borderId="7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14" fillId="0" borderId="0" xfId="0" applyFont="1" applyFill="1"/>
    <xf numFmtId="0" fontId="16" fillId="0" borderId="17" xfId="0" applyFont="1" applyFill="1" applyBorder="1" applyAlignment="1">
      <alignment horizontal="center" vertical="center" wrapText="1"/>
    </xf>
    <xf numFmtId="0" fontId="17" fillId="0" borderId="0" xfId="3" applyFill="1" applyAlignment="1" applyProtection="1">
      <alignment horizontal="left"/>
    </xf>
    <xf numFmtId="0" fontId="0" fillId="0" borderId="7" xfId="0" applyBorder="1" applyAlignment="1"/>
    <xf numFmtId="0" fontId="16" fillId="0" borderId="13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0" fontId="39" fillId="9" borderId="18" xfId="5" applyFon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91" fillId="4" borderId="18" xfId="1" applyNumberFormat="1" applyBorder="1" applyAlignment="1">
      <alignment horizontal="center"/>
    </xf>
    <xf numFmtId="3" fontId="40" fillId="42" borderId="18" xfId="1" applyNumberFormat="1" applyFont="1" applyFill="1" applyBorder="1" applyAlignment="1">
      <alignment horizontal="center"/>
    </xf>
    <xf numFmtId="3" fontId="40" fillId="43" borderId="13" xfId="5" applyNumberFormat="1" applyFont="1" applyFill="1" applyBorder="1" applyAlignment="1">
      <alignment horizontal="center"/>
    </xf>
    <xf numFmtId="9" fontId="40" fillId="42" borderId="18" xfId="1" applyNumberFormat="1" applyFont="1" applyFill="1" applyBorder="1" applyAlignment="1">
      <alignment horizontal="center"/>
    </xf>
    <xf numFmtId="9" fontId="40" fillId="43" borderId="13" xfId="5" applyNumberFormat="1" applyFont="1" applyFill="1" applyBorder="1" applyAlignment="1">
      <alignment horizontal="center"/>
    </xf>
    <xf numFmtId="1" fontId="91" fillId="0" borderId="18" xfId="1" applyNumberFormat="1" applyFill="1" applyBorder="1" applyAlignment="1">
      <alignment horizontal="center"/>
    </xf>
    <xf numFmtId="1" fontId="91" fillId="0" borderId="15" xfId="1" applyNumberFormat="1" applyFill="1" applyBorder="1" applyAlignment="1">
      <alignment horizontal="center"/>
    </xf>
    <xf numFmtId="1" fontId="0" fillId="0" borderId="7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12" fillId="0" borderId="18" xfId="0" applyNumberFormat="1" applyFon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40" fillId="42" borderId="18" xfId="5" applyNumberFormat="1" applyFont="1" applyFill="1" applyBorder="1" applyAlignment="1">
      <alignment horizontal="center"/>
    </xf>
    <xf numFmtId="3" fontId="0" fillId="72" borderId="18" xfId="0" applyNumberFormat="1" applyFill="1" applyBorder="1" applyAlignment="1">
      <alignment horizontal="center"/>
    </xf>
    <xf numFmtId="3" fontId="0" fillId="47" borderId="18" xfId="0" applyNumberFormat="1" applyFill="1" applyBorder="1" applyAlignment="1">
      <alignment horizontal="center"/>
    </xf>
    <xf numFmtId="3" fontId="0" fillId="71" borderId="18" xfId="0" applyNumberFormat="1" applyFill="1" applyBorder="1" applyAlignment="1">
      <alignment horizontal="center"/>
    </xf>
    <xf numFmtId="3" fontId="0" fillId="71" borderId="16" xfId="0" applyNumberFormat="1" applyFill="1" applyBorder="1" applyAlignment="1">
      <alignment horizontal="center"/>
    </xf>
    <xf numFmtId="3" fontId="0" fillId="73" borderId="18" xfId="0" applyNumberFormat="1" applyFill="1" applyBorder="1" applyAlignment="1">
      <alignment horizontal="center"/>
    </xf>
    <xf numFmtId="3" fontId="0" fillId="73" borderId="16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3" fontId="12" fillId="0" borderId="16" xfId="0" applyNumberFormat="1" applyFont="1" applyFill="1" applyBorder="1" applyAlignment="1">
      <alignment horizontal="center"/>
    </xf>
    <xf numFmtId="3" fontId="40" fillId="0" borderId="18" xfId="5" applyNumberFormat="1" applyFont="1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center"/>
    </xf>
    <xf numFmtId="3" fontId="12" fillId="0" borderId="14" xfId="0" applyNumberFormat="1" applyFont="1" applyFill="1" applyBorder="1" applyAlignment="1">
      <alignment horizontal="center"/>
    </xf>
    <xf numFmtId="3" fontId="14" fillId="0" borderId="29" xfId="0" applyNumberFormat="1" applyFont="1" applyFill="1" applyBorder="1" applyAlignment="1">
      <alignment horizontal="center"/>
    </xf>
    <xf numFmtId="3" fontId="14" fillId="0" borderId="29" xfId="0" applyNumberFormat="1" applyFont="1" applyBorder="1" applyAlignment="1">
      <alignment horizontal="center"/>
    </xf>
    <xf numFmtId="3" fontId="14" fillId="0" borderId="58" xfId="0" applyNumberFormat="1" applyFont="1" applyBorder="1" applyAlignment="1">
      <alignment horizontal="center"/>
    </xf>
    <xf numFmtId="3" fontId="14" fillId="0" borderId="15" xfId="0" applyNumberFormat="1" applyFont="1" applyFill="1" applyBorder="1" applyAlignment="1">
      <alignment horizontal="center"/>
    </xf>
    <xf numFmtId="3" fontId="14" fillId="0" borderId="15" xfId="0" applyNumberFormat="1" applyFont="1" applyBorder="1" applyAlignment="1">
      <alignment horizontal="center"/>
    </xf>
    <xf numFmtId="3" fontId="14" fillId="0" borderId="7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14" fillId="0" borderId="18" xfId="0" applyNumberFormat="1" applyFont="1" applyFill="1" applyBorder="1" applyAlignment="1">
      <alignment horizontal="center"/>
    </xf>
    <xf numFmtId="3" fontId="14" fillId="0" borderId="16" xfId="0" applyNumberFormat="1" applyFont="1" applyFill="1" applyBorder="1" applyAlignment="1">
      <alignment horizontal="center"/>
    </xf>
    <xf numFmtId="3" fontId="12" fillId="73" borderId="16" xfId="0" applyNumberFormat="1" applyFont="1" applyFill="1" applyBorder="1" applyAlignment="1">
      <alignment horizontal="center"/>
    </xf>
    <xf numFmtId="1" fontId="91" fillId="4" borderId="18" xfId="1" applyNumberFormat="1" applyBorder="1" applyAlignment="1">
      <alignment horizontal="left"/>
    </xf>
    <xf numFmtId="3" fontId="40" fillId="9" borderId="18" xfId="5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left"/>
    </xf>
    <xf numFmtId="3" fontId="0" fillId="0" borderId="0" xfId="0" applyNumberFormat="1" applyFill="1" applyBorder="1" applyAlignment="1">
      <alignment horizontal="left"/>
    </xf>
    <xf numFmtId="3" fontId="14" fillId="0" borderId="17" xfId="0" applyNumberFormat="1" applyFont="1" applyFill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3" fontId="14" fillId="0" borderId="6" xfId="0" applyNumberFormat="1" applyFont="1" applyFill="1" applyBorder="1" applyAlignment="1">
      <alignment horizontal="center"/>
    </xf>
    <xf numFmtId="3" fontId="14" fillId="10" borderId="29" xfId="0" applyNumberFormat="1" applyFont="1" applyFill="1" applyBorder="1" applyAlignment="1">
      <alignment horizontal="center"/>
    </xf>
    <xf numFmtId="3" fontId="14" fillId="0" borderId="18" xfId="0" applyNumberFormat="1" applyFont="1" applyBorder="1" applyAlignment="1">
      <alignment horizontal="center"/>
    </xf>
    <xf numFmtId="3" fontId="44" fillId="0" borderId="18" xfId="0" applyNumberFormat="1" applyFon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9" fontId="14" fillId="0" borderId="29" xfId="0" applyNumberFormat="1" applyFont="1" applyBorder="1" applyAlignment="1">
      <alignment horizontal="center"/>
    </xf>
    <xf numFmtId="9" fontId="14" fillId="0" borderId="29" xfId="0" applyNumberFormat="1" applyFont="1" applyFill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9" fontId="37" fillId="0" borderId="0" xfId="0" applyNumberFormat="1" applyFont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9" fontId="44" fillId="0" borderId="0" xfId="0" applyNumberFormat="1" applyFont="1" applyBorder="1" applyAlignment="1">
      <alignment horizontal="center"/>
    </xf>
    <xf numFmtId="1" fontId="55" fillId="74" borderId="18" xfId="1" applyNumberFormat="1" applyFont="1" applyFill="1" applyBorder="1"/>
    <xf numFmtId="1" fontId="92" fillId="74" borderId="18" xfId="1" applyNumberFormat="1" applyFont="1" applyFill="1" applyBorder="1" applyAlignment="1">
      <alignment horizontal="center"/>
    </xf>
    <xf numFmtId="3" fontId="14" fillId="45" borderId="29" xfId="0" applyNumberFormat="1" applyFont="1" applyFill="1" applyBorder="1"/>
    <xf numFmtId="3" fontId="14" fillId="45" borderId="29" xfId="0" applyNumberFormat="1" applyFont="1" applyFill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1" fontId="14" fillId="0" borderId="0" xfId="0" applyNumberFormat="1" applyFont="1" applyFill="1" applyAlignment="1">
      <alignment horizontal="center"/>
    </xf>
    <xf numFmtId="1" fontId="0" fillId="0" borderId="0" xfId="0" applyNumberFormat="1" applyBorder="1" applyAlignment="1">
      <alignment horizontal="center"/>
    </xf>
    <xf numFmtId="1" fontId="91" fillId="4" borderId="16" xfId="1" applyNumberFormat="1" applyBorder="1" applyAlignment="1">
      <alignment horizontal="center"/>
    </xf>
    <xf numFmtId="3" fontId="40" fillId="9" borderId="16" xfId="5" applyNumberFormat="1" applyFont="1" applyBorder="1" applyAlignment="1">
      <alignment horizontal="center"/>
    </xf>
    <xf numFmtId="0" fontId="18" fillId="0" borderId="0" xfId="0" applyFont="1" applyFill="1"/>
    <xf numFmtId="1" fontId="16" fillId="0" borderId="18" xfId="0" applyNumberFormat="1" applyFont="1" applyFill="1" applyBorder="1"/>
    <xf numFmtId="1" fontId="16" fillId="0" borderId="16" xfId="0" applyNumberFormat="1" applyFont="1" applyFill="1" applyBorder="1"/>
    <xf numFmtId="1" fontId="27" fillId="0" borderId="13" xfId="0" applyNumberFormat="1" applyFont="1" applyFill="1" applyBorder="1"/>
    <xf numFmtId="1" fontId="16" fillId="0" borderId="12" xfId="0" applyNumberFormat="1" applyFont="1" applyFill="1" applyBorder="1"/>
    <xf numFmtId="1" fontId="16" fillId="0" borderId="15" xfId="0" applyNumberFormat="1" applyFont="1" applyFill="1" applyBorder="1"/>
    <xf numFmtId="1" fontId="27" fillId="0" borderId="12" xfId="0" applyNumberFormat="1" applyFont="1" applyFill="1" applyBorder="1"/>
    <xf numFmtId="1" fontId="15" fillId="0" borderId="18" xfId="0" applyNumberFormat="1" applyFont="1" applyFill="1" applyBorder="1"/>
    <xf numFmtId="3" fontId="16" fillId="0" borderId="13" xfId="0" applyNumberFormat="1" applyFont="1" applyFill="1" applyBorder="1"/>
    <xf numFmtId="3" fontId="16" fillId="0" borderId="14" xfId="0" applyNumberFormat="1" applyFont="1" applyFill="1" applyBorder="1"/>
    <xf numFmtId="3" fontId="16" fillId="0" borderId="12" xfId="0" applyNumberFormat="1" applyFont="1" applyFill="1" applyBorder="1"/>
    <xf numFmtId="3" fontId="16" fillId="0" borderId="15" xfId="0" applyNumberFormat="1" applyFont="1" applyFill="1" applyBorder="1"/>
    <xf numFmtId="3" fontId="26" fillId="0" borderId="12" xfId="0" applyNumberFormat="1" applyFont="1" applyFill="1" applyBorder="1"/>
    <xf numFmtId="3" fontId="26" fillId="0" borderId="7" xfId="0" applyNumberFormat="1" applyFont="1" applyFill="1" applyBorder="1"/>
    <xf numFmtId="3" fontId="26" fillId="0" borderId="13" xfId="0" applyNumberFormat="1" applyFont="1" applyFill="1" applyBorder="1"/>
    <xf numFmtId="3" fontId="15" fillId="0" borderId="18" xfId="0" applyNumberFormat="1" applyFont="1" applyFill="1" applyBorder="1"/>
    <xf numFmtId="9" fontId="16" fillId="0" borderId="15" xfId="353" applyFont="1" applyFill="1" applyBorder="1"/>
    <xf numFmtId="9" fontId="16" fillId="0" borderId="18" xfId="353" applyFont="1" applyFill="1" applyBorder="1"/>
    <xf numFmtId="3" fontId="0" fillId="0" borderId="0" xfId="2" applyNumberFormat="1" applyFont="1"/>
    <xf numFmtId="0" fontId="0" fillId="0" borderId="7" xfId="0" applyBorder="1"/>
    <xf numFmtId="3" fontId="0" fillId="0" borderId="0" xfId="0" applyNumberFormat="1" applyFont="1" applyFill="1" applyBorder="1"/>
    <xf numFmtId="3" fontId="0" fillId="0" borderId="11" xfId="0" applyNumberFormat="1" applyFont="1" applyFill="1" applyBorder="1"/>
    <xf numFmtId="0" fontId="0" fillId="0" borderId="7" xfId="0" applyFill="1" applyBorder="1"/>
    <xf numFmtId="3" fontId="0" fillId="0" borderId="11" xfId="0" applyNumberFormat="1" applyFill="1" applyBorder="1"/>
    <xf numFmtId="0" fontId="0" fillId="0" borderId="8" xfId="0" applyFill="1" applyBorder="1"/>
    <xf numFmtId="3" fontId="0" fillId="0" borderId="6" xfId="0" applyNumberFormat="1" applyFill="1" applyBorder="1"/>
    <xf numFmtId="3" fontId="0" fillId="0" borderId="10" xfId="0" applyNumberFormat="1" applyFill="1" applyBorder="1"/>
    <xf numFmtId="3" fontId="0" fillId="0" borderId="6" xfId="0" applyNumberFormat="1" applyFont="1" applyFill="1" applyBorder="1"/>
    <xf numFmtId="3" fontId="0" fillId="0" borderId="10" xfId="0" applyNumberFormat="1" applyFont="1" applyFill="1" applyBorder="1"/>
    <xf numFmtId="0" fontId="14" fillId="73" borderId="16" xfId="0" applyFont="1" applyFill="1" applyBorder="1"/>
    <xf numFmtId="0" fontId="14" fillId="73" borderId="4" xfId="0" applyFont="1" applyFill="1" applyBorder="1"/>
    <xf numFmtId="0" fontId="14" fillId="73" borderId="5" xfId="0" applyFont="1" applyFill="1" applyBorder="1"/>
    <xf numFmtId="0" fontId="30" fillId="75" borderId="16" xfId="0" applyFont="1" applyFill="1" applyBorder="1"/>
    <xf numFmtId="3" fontId="14" fillId="75" borderId="4" xfId="0" applyNumberFormat="1" applyFont="1" applyFill="1" applyBorder="1"/>
    <xf numFmtId="3" fontId="14" fillId="75" borderId="5" xfId="0" applyNumberFormat="1" applyFont="1" applyFill="1" applyBorder="1"/>
    <xf numFmtId="0" fontId="0" fillId="75" borderId="4" xfId="0" applyFill="1" applyBorder="1"/>
    <xf numFmtId="0" fontId="0" fillId="75" borderId="5" xfId="0" applyFill="1" applyBorder="1"/>
    <xf numFmtId="0" fontId="14" fillId="0" borderId="5" xfId="0" applyFont="1" applyBorder="1"/>
    <xf numFmtId="3" fontId="14" fillId="0" borderId="5" xfId="0" applyNumberFormat="1" applyFont="1" applyBorder="1"/>
    <xf numFmtId="3" fontId="0" fillId="0" borderId="11" xfId="0" applyNumberFormat="1" applyBorder="1"/>
    <xf numFmtId="0" fontId="14" fillId="0" borderId="18" xfId="0" applyFont="1" applyBorder="1"/>
    <xf numFmtId="0" fontId="0" fillId="0" borderId="0" xfId="0"/>
    <xf numFmtId="3" fontId="0" fillId="0" borderId="10" xfId="0" applyNumberFormat="1" applyBorder="1"/>
    <xf numFmtId="3" fontId="16" fillId="0" borderId="0" xfId="0" applyNumberFormat="1" applyFont="1"/>
    <xf numFmtId="0" fontId="0" fillId="0" borderId="0" xfId="0"/>
    <xf numFmtId="0" fontId="12" fillId="0" borderId="0" xfId="0" applyFont="1" applyFill="1"/>
    <xf numFmtId="0" fontId="0" fillId="0" borderId="0" xfId="0" applyFill="1"/>
    <xf numFmtId="3" fontId="16" fillId="0" borderId="0" xfId="0" applyNumberFormat="1" applyFont="1" applyFill="1" applyBorder="1" applyAlignment="1">
      <alignment horizontal="center"/>
    </xf>
    <xf numFmtId="0" fontId="35" fillId="0" borderId="60" xfId="0" applyFont="1" applyFill="1" applyBorder="1" applyAlignment="1">
      <alignment horizontal="center" vertical="center" wrapText="1" readingOrder="1"/>
    </xf>
    <xf numFmtId="0" fontId="35" fillId="0" borderId="61" xfId="0" applyFont="1" applyFill="1" applyBorder="1" applyAlignment="1">
      <alignment horizontal="center" vertical="center" wrapText="1" readingOrder="1"/>
    </xf>
    <xf numFmtId="0" fontId="35" fillId="0" borderId="62" xfId="0" applyFont="1" applyFill="1" applyBorder="1" applyAlignment="1">
      <alignment horizontal="center" vertical="center" wrapText="1" readingOrder="1"/>
    </xf>
    <xf numFmtId="0" fontId="35" fillId="0" borderId="63" xfId="0" applyFont="1" applyFill="1" applyBorder="1" applyAlignment="1">
      <alignment horizontal="center" vertical="center" wrapText="1" readingOrder="1"/>
    </xf>
    <xf numFmtId="0" fontId="35" fillId="0" borderId="64" xfId="0" applyFont="1" applyFill="1" applyBorder="1" applyAlignment="1">
      <alignment horizontal="center" vertical="center" wrapText="1" readingOrder="1"/>
    </xf>
    <xf numFmtId="0" fontId="35" fillId="0" borderId="59" xfId="0" applyFont="1" applyFill="1" applyBorder="1" applyAlignment="1">
      <alignment horizontal="center" vertical="center" wrapText="1" readingOrder="1"/>
    </xf>
    <xf numFmtId="0" fontId="94" fillId="0" borderId="17" xfId="0" applyFont="1" applyFill="1" applyBorder="1" applyAlignment="1"/>
    <xf numFmtId="0" fontId="16" fillId="0" borderId="17" xfId="0" applyFont="1" applyFill="1" applyBorder="1" applyAlignment="1"/>
    <xf numFmtId="0" fontId="0" fillId="0" borderId="0" xfId="0"/>
    <xf numFmtId="0" fontId="0" fillId="0" borderId="0" xfId="0"/>
    <xf numFmtId="0" fontId="0" fillId="0" borderId="0" xfId="0" applyFont="1"/>
    <xf numFmtId="0" fontId="15" fillId="0" borderId="18" xfId="0" applyFont="1" applyBorder="1" applyAlignment="1">
      <alignment horizontal="center"/>
    </xf>
    <xf numFmtId="0" fontId="15" fillId="0" borderId="18" xfId="0" applyFont="1" applyBorder="1" applyAlignment="1">
      <alignment horizontal="center" wrapText="1"/>
    </xf>
    <xf numFmtId="0" fontId="16" fillId="0" borderId="16" xfId="0" applyFont="1" applyBorder="1"/>
    <xf numFmtId="0" fontId="16" fillId="0" borderId="18" xfId="0" applyFont="1" applyBorder="1"/>
    <xf numFmtId="0" fontId="15" fillId="0" borderId="10" xfId="0" applyFont="1" applyBorder="1" applyAlignment="1">
      <alignment horizontal="center"/>
    </xf>
    <xf numFmtId="0" fontId="94" fillId="0" borderId="0" xfId="0" applyFont="1"/>
    <xf numFmtId="0" fontId="15" fillId="0" borderId="0" xfId="0" applyFont="1"/>
    <xf numFmtId="0" fontId="15" fillId="0" borderId="18" xfId="0" applyFont="1" applyBorder="1"/>
    <xf numFmtId="0" fontId="0" fillId="0" borderId="0" xfId="0"/>
    <xf numFmtId="3" fontId="0" fillId="0" borderId="0" xfId="0" applyNumberFormat="1" applyAlignment="1">
      <alignment horizontal="center"/>
    </xf>
    <xf numFmtId="0" fontId="16" fillId="6" borderId="13" xfId="0" applyFont="1" applyFill="1" applyBorder="1" applyAlignment="1">
      <alignment horizontal="center"/>
    </xf>
    <xf numFmtId="0" fontId="16" fillId="6" borderId="12" xfId="0" applyFont="1" applyFill="1" applyBorder="1" applyAlignment="1">
      <alignment horizontal="center"/>
    </xf>
    <xf numFmtId="0" fontId="16" fillId="7" borderId="12" xfId="0" applyFont="1" applyFill="1" applyBorder="1" applyAlignment="1">
      <alignment horizontal="center"/>
    </xf>
    <xf numFmtId="0" fontId="16" fillId="8" borderId="12" xfId="0" applyFont="1" applyFill="1" applyBorder="1" applyAlignment="1">
      <alignment horizontal="center"/>
    </xf>
    <xf numFmtId="0" fontId="16" fillId="8" borderId="15" xfId="0" applyFont="1" applyFill="1" applyBorder="1" applyAlignment="1">
      <alignment horizontal="center"/>
    </xf>
    <xf numFmtId="0" fontId="16" fillId="6" borderId="83" xfId="0" applyFont="1" applyFill="1" applyBorder="1" applyAlignment="1">
      <alignment horizontal="center"/>
    </xf>
    <xf numFmtId="0" fontId="16" fillId="7" borderId="83" xfId="0" applyFont="1" applyFill="1" applyBorder="1" applyAlignment="1">
      <alignment horizontal="center"/>
    </xf>
    <xf numFmtId="0" fontId="17" fillId="0" borderId="0" xfId="3" applyFont="1" applyAlignment="1" applyProtection="1"/>
    <xf numFmtId="0" fontId="0" fillId="0" borderId="0" xfId="0" applyFont="1" applyFill="1" applyBorder="1" applyAlignment="1"/>
    <xf numFmtId="0" fontId="95" fillId="0" borderId="0" xfId="23"/>
    <xf numFmtId="0" fontId="0" fillId="6" borderId="18" xfId="0" applyFont="1" applyFill="1" applyBorder="1" applyAlignment="1"/>
    <xf numFmtId="0" fontId="0" fillId="7" borderId="18" xfId="0" applyFont="1" applyFill="1" applyBorder="1" applyAlignment="1"/>
    <xf numFmtId="0" fontId="0" fillId="8" borderId="18" xfId="0" applyFont="1" applyFill="1" applyBorder="1" applyAlignment="1"/>
    <xf numFmtId="0" fontId="0" fillId="6" borderId="18" xfId="0" applyFill="1" applyBorder="1" applyAlignment="1"/>
    <xf numFmtId="0" fontId="0" fillId="7" borderId="18" xfId="0" applyFill="1" applyBorder="1" applyAlignment="1"/>
    <xf numFmtId="0" fontId="0" fillId="8" borderId="18" xfId="0" applyFill="1" applyBorder="1" applyAlignment="1"/>
    <xf numFmtId="168" fontId="0" fillId="0" borderId="0" xfId="0" applyNumberFormat="1" applyFill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" fontId="14" fillId="0" borderId="0" xfId="0" quotePrefix="1" applyNumberFormat="1" applyFont="1" applyFill="1" applyBorder="1" applyAlignment="1">
      <alignment horizontal="left"/>
    </xf>
    <xf numFmtId="1" fontId="14" fillId="0" borderId="0" xfId="0" quotePrefix="1" applyNumberFormat="1" applyFont="1" applyFill="1" applyBorder="1" applyAlignment="1">
      <alignment horizontal="center"/>
    </xf>
    <xf numFmtId="1" fontId="28" fillId="0" borderId="0" xfId="0" applyNumberFormat="1" applyFont="1" applyBorder="1"/>
    <xf numFmtId="1" fontId="96" fillId="4" borderId="18" xfId="1" applyNumberFormat="1" applyFont="1" applyBorder="1"/>
    <xf numFmtId="1" fontId="96" fillId="4" borderId="18" xfId="1" applyNumberFormat="1" applyFont="1" applyBorder="1" applyAlignment="1">
      <alignment horizontal="center"/>
    </xf>
    <xf numFmtId="1" fontId="96" fillId="4" borderId="16" xfId="1" applyNumberFormat="1" applyFont="1" applyBorder="1" applyAlignment="1">
      <alignment horizontal="center"/>
    </xf>
    <xf numFmtId="1" fontId="96" fillId="4" borderId="85" xfId="1" applyNumberFormat="1" applyFont="1" applyBorder="1" applyAlignment="1">
      <alignment horizontal="center"/>
    </xf>
    <xf numFmtId="1" fontId="96" fillId="4" borderId="5" xfId="1" applyNumberFormat="1" applyFont="1" applyBorder="1" applyAlignment="1">
      <alignment horizontal="center"/>
    </xf>
    <xf numFmtId="3" fontId="40" fillId="42" borderId="16" xfId="1" applyNumberFormat="1" applyFont="1" applyFill="1" applyBorder="1" applyAlignment="1">
      <alignment horizontal="center"/>
    </xf>
    <xf numFmtId="3" fontId="40" fillId="42" borderId="85" xfId="1" applyNumberFormat="1" applyFont="1" applyFill="1" applyBorder="1" applyAlignment="1">
      <alignment horizontal="center"/>
    </xf>
    <xf numFmtId="3" fontId="40" fillId="42" borderId="5" xfId="1" applyNumberFormat="1" applyFont="1" applyFill="1" applyBorder="1" applyAlignment="1">
      <alignment horizontal="center"/>
    </xf>
    <xf numFmtId="9" fontId="40" fillId="42" borderId="16" xfId="1" applyNumberFormat="1" applyFont="1" applyFill="1" applyBorder="1" applyAlignment="1">
      <alignment horizontal="center"/>
    </xf>
    <xf numFmtId="9" fontId="40" fillId="42" borderId="85" xfId="1" applyNumberFormat="1" applyFont="1" applyFill="1" applyBorder="1" applyAlignment="1">
      <alignment horizontal="center"/>
    </xf>
    <xf numFmtId="9" fontId="40" fillId="42" borderId="5" xfId="1" applyNumberFormat="1" applyFont="1" applyFill="1" applyBorder="1" applyAlignment="1">
      <alignment horizontal="center"/>
    </xf>
    <xf numFmtId="1" fontId="91" fillId="0" borderId="16" xfId="1" applyNumberFormat="1" applyFill="1" applyBorder="1" applyAlignment="1">
      <alignment horizontal="center"/>
    </xf>
    <xf numFmtId="1" fontId="91" fillId="0" borderId="85" xfId="1" applyNumberFormat="1" applyFill="1" applyBorder="1" applyAlignment="1">
      <alignment horizontal="center"/>
    </xf>
    <xf numFmtId="1" fontId="91" fillId="0" borderId="5" xfId="1" applyNumberFormat="1" applyFill="1" applyBorder="1" applyAlignment="1">
      <alignment horizontal="center"/>
    </xf>
    <xf numFmtId="1" fontId="91" fillId="0" borderId="8" xfId="1" applyNumberFormat="1" applyFill="1" applyBorder="1" applyAlignment="1">
      <alignment horizontal="center"/>
    </xf>
    <xf numFmtId="1" fontId="91" fillId="0" borderId="86" xfId="1" applyNumberFormat="1" applyFill="1" applyBorder="1" applyAlignment="1">
      <alignment horizontal="center"/>
    </xf>
    <xf numFmtId="1" fontId="91" fillId="0" borderId="10" xfId="1" applyNumberFormat="1" applyFill="1" applyBorder="1" applyAlignment="1">
      <alignment horizontal="center"/>
    </xf>
    <xf numFmtId="1" fontId="0" fillId="0" borderId="87" xfId="0" applyNumberFormat="1" applyFill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85" xfId="0" applyNumberFormat="1" applyBorder="1" applyAlignment="1">
      <alignment horizontal="center"/>
    </xf>
    <xf numFmtId="3" fontId="12" fillId="0" borderId="5" xfId="0" applyNumberFormat="1" applyFont="1" applyFill="1" applyBorder="1" applyAlignment="1">
      <alignment horizontal="center"/>
    </xf>
    <xf numFmtId="3" fontId="0" fillId="0" borderId="85" xfId="0" applyNumberFormat="1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3" fontId="0" fillId="0" borderId="8" xfId="0" applyNumberFormat="1" applyFill="1" applyBorder="1" applyAlignment="1">
      <alignment horizontal="center"/>
    </xf>
    <xf numFmtId="3" fontId="0" fillId="0" borderId="86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87" xfId="0" applyNumberFormat="1" applyFill="1" applyBorder="1" applyAlignment="1">
      <alignment horizontal="center"/>
    </xf>
    <xf numFmtId="3" fontId="0" fillId="72" borderId="16" xfId="0" applyNumberFormat="1" applyFill="1" applyBorder="1" applyAlignment="1">
      <alignment horizontal="center"/>
    </xf>
    <xf numFmtId="3" fontId="0" fillId="72" borderId="85" xfId="0" applyNumberFormat="1" applyFill="1" applyBorder="1" applyAlignment="1">
      <alignment horizontal="center"/>
    </xf>
    <xf numFmtId="3" fontId="0" fillId="72" borderId="5" xfId="0" applyNumberFormat="1" applyFill="1" applyBorder="1" applyAlignment="1">
      <alignment horizontal="center"/>
    </xf>
    <xf numFmtId="3" fontId="0" fillId="47" borderId="16" xfId="0" applyNumberFormat="1" applyFill="1" applyBorder="1" applyAlignment="1">
      <alignment horizontal="center"/>
    </xf>
    <xf numFmtId="3" fontId="0" fillId="47" borderId="85" xfId="0" applyNumberFormat="1" applyFill="1" applyBorder="1" applyAlignment="1">
      <alignment horizontal="center"/>
    </xf>
    <xf numFmtId="3" fontId="0" fillId="47" borderId="5" xfId="0" applyNumberFormat="1" applyFill="1" applyBorder="1" applyAlignment="1">
      <alignment horizontal="center"/>
    </xf>
    <xf numFmtId="3" fontId="0" fillId="71" borderId="85" xfId="0" applyNumberFormat="1" applyFill="1" applyBorder="1" applyAlignment="1">
      <alignment horizontal="center"/>
    </xf>
    <xf numFmtId="3" fontId="0" fillId="71" borderId="5" xfId="0" applyNumberFormat="1" applyFill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73" borderId="85" xfId="0" applyNumberFormat="1" applyFill="1" applyBorder="1" applyAlignment="1">
      <alignment horizontal="center"/>
    </xf>
    <xf numFmtId="3" fontId="0" fillId="73" borderId="5" xfId="0" applyNumberFormat="1" applyFill="1" applyBorder="1" applyAlignment="1">
      <alignment horizontal="center"/>
    </xf>
    <xf numFmtId="3" fontId="0" fillId="0" borderId="87" xfId="0" applyNumberFormat="1" applyBorder="1" applyAlignment="1">
      <alignment horizontal="center"/>
    </xf>
    <xf numFmtId="3" fontId="12" fillId="0" borderId="85" xfId="0" applyNumberFormat="1" applyFont="1" applyFill="1" applyBorder="1" applyAlignment="1">
      <alignment horizontal="center"/>
    </xf>
    <xf numFmtId="3" fontId="12" fillId="0" borderId="88" xfId="0" applyNumberFormat="1" applyFont="1" applyFill="1" applyBorder="1" applyAlignment="1">
      <alignment horizontal="center"/>
    </xf>
    <xf numFmtId="3" fontId="12" fillId="0" borderId="9" xfId="0" applyNumberFormat="1" applyFont="1" applyFill="1" applyBorder="1" applyAlignment="1">
      <alignment horizontal="center"/>
    </xf>
    <xf numFmtId="3" fontId="14" fillId="0" borderId="89" xfId="0" applyNumberFormat="1" applyFont="1" applyBorder="1" applyAlignment="1">
      <alignment horizontal="center"/>
    </xf>
    <xf numFmtId="3" fontId="14" fillId="0" borderId="90" xfId="0" applyNumberFormat="1" applyFont="1" applyBorder="1" applyAlignment="1">
      <alignment horizontal="center"/>
    </xf>
    <xf numFmtId="3" fontId="14" fillId="0" borderId="8" xfId="0" applyNumberFormat="1" applyFont="1" applyBorder="1" applyAlignment="1">
      <alignment horizontal="center"/>
    </xf>
    <xf numFmtId="3" fontId="14" fillId="0" borderId="86" xfId="0" applyNumberFormat="1" applyFont="1" applyBorder="1" applyAlignment="1">
      <alignment horizontal="center"/>
    </xf>
    <xf numFmtId="3" fontId="14" fillId="0" borderId="10" xfId="0" applyNumberFormat="1" applyFont="1" applyBorder="1" applyAlignment="1">
      <alignment horizontal="center"/>
    </xf>
    <xf numFmtId="3" fontId="14" fillId="0" borderId="87" xfId="0" applyNumberFormat="1" applyFont="1" applyFill="1" applyBorder="1" applyAlignment="1">
      <alignment horizontal="center"/>
    </xf>
    <xf numFmtId="3" fontId="0" fillId="0" borderId="88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3" fontId="14" fillId="0" borderId="85" xfId="0" applyNumberFormat="1" applyFont="1" applyFill="1" applyBorder="1" applyAlignment="1">
      <alignment horizontal="center"/>
    </xf>
    <xf numFmtId="3" fontId="14" fillId="0" borderId="5" xfId="0" applyNumberFormat="1" applyFont="1" applyFill="1" applyBorder="1" applyAlignment="1">
      <alignment horizontal="center"/>
    </xf>
    <xf numFmtId="3" fontId="12" fillId="73" borderId="85" xfId="0" applyNumberFormat="1" applyFont="1" applyFill="1" applyBorder="1" applyAlignment="1">
      <alignment horizontal="center"/>
    </xf>
    <xf numFmtId="1" fontId="91" fillId="4" borderId="85" xfId="1" applyNumberFormat="1" applyBorder="1" applyAlignment="1">
      <alignment horizontal="center"/>
    </xf>
    <xf numFmtId="1" fontId="91" fillId="4" borderId="5" xfId="1" applyNumberFormat="1" applyBorder="1" applyAlignment="1">
      <alignment horizontal="center"/>
    </xf>
    <xf numFmtId="3" fontId="40" fillId="9" borderId="85" xfId="5" applyNumberFormat="1" applyFont="1" applyBorder="1" applyAlignment="1">
      <alignment horizontal="center"/>
    </xf>
    <xf numFmtId="3" fontId="38" fillId="0" borderId="16" xfId="5" applyNumberFormat="1" applyFill="1" applyBorder="1" applyAlignment="1">
      <alignment horizontal="center"/>
    </xf>
    <xf numFmtId="3" fontId="40" fillId="9" borderId="5" xfId="5" applyNumberFormat="1" applyFont="1" applyBorder="1" applyAlignment="1">
      <alignment horizontal="center"/>
    </xf>
    <xf numFmtId="1" fontId="58" fillId="0" borderId="0" xfId="0" applyNumberFormat="1" applyFont="1" applyFill="1" applyBorder="1" applyAlignment="1">
      <alignment horizontal="center"/>
    </xf>
    <xf numFmtId="3" fontId="12" fillId="0" borderId="16" xfId="6" applyNumberFormat="1" applyBorder="1" applyAlignment="1">
      <alignment horizontal="center"/>
    </xf>
    <xf numFmtId="1" fontId="19" fillId="0" borderId="0" xfId="0" applyNumberFormat="1" applyFont="1" applyFill="1" applyBorder="1"/>
    <xf numFmtId="1" fontId="18" fillId="0" borderId="0" xfId="0" applyNumberFormat="1" applyFont="1" applyFill="1" applyBorder="1" applyAlignment="1">
      <alignment horizontal="center"/>
    </xf>
    <xf numFmtId="3" fontId="12" fillId="0" borderId="87" xfId="0" applyNumberFormat="1" applyFont="1" applyFill="1" applyBorder="1" applyAlignment="1">
      <alignment horizontal="center"/>
    </xf>
    <xf numFmtId="3" fontId="14" fillId="0" borderId="87" xfId="0" applyNumberFormat="1" applyFont="1" applyBorder="1" applyAlignment="1">
      <alignment horizontal="center"/>
    </xf>
    <xf numFmtId="3" fontId="14" fillId="0" borderId="0" xfId="0" applyNumberFormat="1" applyFont="1" applyFill="1" applyBorder="1" applyAlignment="1">
      <alignment horizontal="left"/>
    </xf>
    <xf numFmtId="3" fontId="14" fillId="0" borderId="29" xfId="0" applyNumberFormat="1" applyFont="1" applyFill="1" applyBorder="1" applyAlignment="1">
      <alignment horizontal="left"/>
    </xf>
    <xf numFmtId="3" fontId="0" fillId="0" borderId="17" xfId="0" applyNumberFormat="1" applyFill="1" applyBorder="1" applyAlignment="1">
      <alignment horizontal="left"/>
    </xf>
    <xf numFmtId="3" fontId="40" fillId="9" borderId="57" xfId="5" applyNumberFormat="1" applyFont="1" applyBorder="1" applyAlignment="1">
      <alignment horizontal="center"/>
    </xf>
    <xf numFmtId="3" fontId="0" fillId="0" borderId="6" xfId="0" applyNumberFormat="1" applyFill="1" applyBorder="1" applyAlignment="1">
      <alignment horizontal="left"/>
    </xf>
    <xf numFmtId="3" fontId="40" fillId="0" borderId="0" xfId="5" applyNumberFormat="1" applyFont="1" applyFill="1" applyBorder="1" applyAlignment="1">
      <alignment horizontal="center"/>
    </xf>
    <xf numFmtId="3" fontId="14" fillId="0" borderId="17" xfId="0" applyNumberFormat="1" applyFont="1" applyFill="1" applyBorder="1" applyAlignment="1">
      <alignment horizontal="left"/>
    </xf>
    <xf numFmtId="3" fontId="91" fillId="4" borderId="85" xfId="1" applyNumberFormat="1" applyBorder="1" applyAlignment="1">
      <alignment horizontal="center"/>
    </xf>
    <xf numFmtId="3" fontId="14" fillId="10" borderId="58" xfId="0" applyNumberFormat="1" applyFont="1" applyFill="1" applyBorder="1" applyAlignment="1">
      <alignment horizontal="center"/>
    </xf>
    <xf numFmtId="3" fontId="14" fillId="10" borderId="89" xfId="0" applyNumberFormat="1" applyFont="1" applyFill="1" applyBorder="1" applyAlignment="1">
      <alignment horizontal="center"/>
    </xf>
    <xf numFmtId="3" fontId="14" fillId="10" borderId="90" xfId="0" applyNumberFormat="1" applyFont="1" applyFill="1" applyBorder="1" applyAlignment="1">
      <alignment horizontal="center"/>
    </xf>
    <xf numFmtId="3" fontId="14" fillId="0" borderId="16" xfId="0" applyNumberFormat="1" applyFont="1" applyBorder="1" applyAlignment="1">
      <alignment horizontal="center"/>
    </xf>
    <xf numFmtId="3" fontId="44" fillId="0" borderId="85" xfId="0" applyNumberFormat="1" applyFont="1" applyBorder="1" applyAlignment="1">
      <alignment horizontal="center"/>
    </xf>
    <xf numFmtId="3" fontId="14" fillId="0" borderId="5" xfId="0" applyNumberFormat="1" applyFont="1" applyBorder="1" applyAlignment="1">
      <alignment horizontal="center"/>
    </xf>
    <xf numFmtId="3" fontId="14" fillId="0" borderId="85" xfId="0" applyNumberFormat="1" applyFont="1" applyBorder="1" applyAlignment="1">
      <alignment horizontal="center"/>
    </xf>
    <xf numFmtId="3" fontId="44" fillId="0" borderId="5" xfId="0" applyNumberFormat="1" applyFont="1" applyBorder="1" applyAlignment="1">
      <alignment horizontal="center"/>
    </xf>
    <xf numFmtId="3" fontId="44" fillId="0" borderId="16" xfId="0" applyNumberFormat="1" applyFont="1" applyBorder="1" applyAlignment="1">
      <alignment horizontal="center"/>
    </xf>
    <xf numFmtId="9" fontId="14" fillId="0" borderId="58" xfId="0" applyNumberFormat="1" applyFont="1" applyBorder="1" applyAlignment="1">
      <alignment horizontal="center"/>
    </xf>
    <xf numFmtId="9" fontId="14" fillId="0" borderId="90" xfId="0" applyNumberFormat="1" applyFont="1" applyBorder="1" applyAlignment="1">
      <alignment horizontal="center"/>
    </xf>
    <xf numFmtId="9" fontId="14" fillId="0" borderId="89" xfId="0" applyNumberFormat="1" applyFont="1" applyFill="1" applyBorder="1" applyAlignment="1">
      <alignment horizontal="center"/>
    </xf>
    <xf numFmtId="9" fontId="14" fillId="0" borderId="90" xfId="0" applyNumberFormat="1" applyFont="1" applyFill="1" applyBorder="1" applyAlignment="1">
      <alignment horizontal="center"/>
    </xf>
    <xf numFmtId="9" fontId="14" fillId="0" borderId="58" xfId="0" applyNumberFormat="1" applyFont="1" applyFill="1" applyBorder="1" applyAlignment="1">
      <alignment horizontal="center"/>
    </xf>
    <xf numFmtId="9" fontId="14" fillId="0" borderId="89" xfId="0" applyNumberFormat="1" applyFont="1" applyBorder="1" applyAlignment="1">
      <alignment horizontal="center"/>
    </xf>
    <xf numFmtId="1" fontId="92" fillId="74" borderId="16" xfId="1" applyNumberFormat="1" applyFont="1" applyFill="1" applyBorder="1" applyAlignment="1">
      <alignment horizontal="center"/>
    </xf>
    <xf numFmtId="1" fontId="92" fillId="74" borderId="85" xfId="1" applyNumberFormat="1" applyFont="1" applyFill="1" applyBorder="1" applyAlignment="1">
      <alignment horizontal="center"/>
    </xf>
    <xf numFmtId="1" fontId="92" fillId="74" borderId="5" xfId="1" applyNumberFormat="1" applyFont="1" applyFill="1" applyBorder="1" applyAlignment="1">
      <alignment horizontal="center"/>
    </xf>
    <xf numFmtId="3" fontId="14" fillId="45" borderId="58" xfId="0" applyNumberFormat="1" applyFont="1" applyFill="1" applyBorder="1" applyAlignment="1">
      <alignment horizontal="center"/>
    </xf>
    <xf numFmtId="3" fontId="14" fillId="45" borderId="89" xfId="0" applyNumberFormat="1" applyFont="1" applyFill="1" applyBorder="1" applyAlignment="1">
      <alignment horizontal="center"/>
    </xf>
    <xf numFmtId="3" fontId="14" fillId="45" borderId="90" xfId="0" applyNumberFormat="1" applyFont="1" applyFill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8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14" fillId="0" borderId="0" xfId="0" applyNumberFormat="1" applyFont="1" applyBorder="1" applyAlignment="1">
      <alignment horizontal="left"/>
    </xf>
    <xf numFmtId="1" fontId="14" fillId="0" borderId="0" xfId="0" applyNumberFormat="1" applyFont="1" applyFill="1" applyBorder="1" applyAlignment="1">
      <alignment horizontal="center"/>
    </xf>
    <xf numFmtId="1" fontId="91" fillId="4" borderId="5" xfId="1" applyNumberFormat="1" applyBorder="1"/>
    <xf numFmtId="0" fontId="0" fillId="0" borderId="0" xfId="0"/>
    <xf numFmtId="0" fontId="16" fillId="0" borderId="0" xfId="0" applyFont="1" applyFill="1" applyBorder="1" applyAlignment="1">
      <alignment horizontal="left" wrapText="1"/>
    </xf>
    <xf numFmtId="0" fontId="16" fillId="0" borderId="18" xfId="0" applyFont="1" applyFill="1" applyBorder="1" applyAlignment="1">
      <alignment horizontal="left" wrapText="1"/>
    </xf>
    <xf numFmtId="0" fontId="16" fillId="0" borderId="18" xfId="0" applyFont="1" applyFill="1" applyBorder="1" applyAlignment="1">
      <alignment horizontal="center" wrapText="1"/>
    </xf>
    <xf numFmtId="0" fontId="16" fillId="0" borderId="18" xfId="0" applyFont="1" applyFill="1" applyBorder="1" applyAlignment="1">
      <alignment vertical="top" wrapText="1"/>
    </xf>
    <xf numFmtId="0" fontId="16" fillId="0" borderId="18" xfId="1" applyFont="1" applyFill="1" applyBorder="1" applyAlignment="1">
      <alignment horizontal="center" wrapText="1"/>
    </xf>
    <xf numFmtId="0" fontId="16" fillId="0" borderId="18" xfId="0" applyFont="1" applyFill="1" applyBorder="1" applyAlignment="1">
      <alignment horizontal="center"/>
    </xf>
    <xf numFmtId="0" fontId="0" fillId="0" borderId="0" xfId="0"/>
    <xf numFmtId="0" fontId="0" fillId="0" borderId="0" xfId="0" applyFont="1" applyBorder="1"/>
    <xf numFmtId="0" fontId="23" fillId="5" borderId="18" xfId="0" applyFont="1" applyFill="1" applyBorder="1" applyAlignment="1">
      <alignment wrapText="1"/>
    </xf>
    <xf numFmtId="0" fontId="23" fillId="5" borderId="18" xfId="0" applyFont="1" applyFill="1" applyBorder="1" applyAlignment="1">
      <alignment horizontal="center" wrapText="1"/>
    </xf>
    <xf numFmtId="0" fontId="23" fillId="0" borderId="18" xfId="0" applyFont="1" applyFill="1" applyBorder="1" applyAlignment="1">
      <alignment horizontal="center" wrapText="1"/>
    </xf>
    <xf numFmtId="0" fontId="16" fillId="0" borderId="18" xfId="1" applyFont="1" applyFill="1" applyBorder="1" applyAlignment="1">
      <alignment wrapText="1"/>
    </xf>
    <xf numFmtId="0" fontId="23" fillId="0" borderId="18" xfId="6" applyFont="1" applyFill="1" applyBorder="1" applyAlignment="1">
      <alignment wrapText="1"/>
    </xf>
    <xf numFmtId="0" fontId="16" fillId="0" borderId="18" xfId="0" applyFont="1" applyFill="1" applyBorder="1" applyAlignment="1"/>
    <xf numFmtId="0" fontId="22" fillId="0" borderId="15" xfId="0" applyFont="1" applyFill="1" applyBorder="1" applyAlignment="1">
      <alignment horizontal="center" wrapText="1"/>
    </xf>
    <xf numFmtId="3" fontId="15" fillId="0" borderId="93" xfId="0" applyNumberFormat="1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6" fillId="0" borderId="93" xfId="0" applyFont="1" applyFill="1" applyBorder="1" applyAlignment="1">
      <alignment horizontal="center"/>
    </xf>
    <xf numFmtId="0" fontId="22" fillId="0" borderId="94" xfId="0" applyFont="1" applyFill="1" applyBorder="1" applyAlignment="1">
      <alignment wrapText="1"/>
    </xf>
    <xf numFmtId="3" fontId="22" fillId="0" borderId="12" xfId="0" applyNumberFormat="1" applyFont="1" applyFill="1" applyBorder="1" applyAlignment="1">
      <alignment horizontal="center" wrapText="1"/>
    </xf>
    <xf numFmtId="3" fontId="22" fillId="0" borderId="94" xfId="0" applyNumberFormat="1" applyFont="1" applyFill="1" applyBorder="1" applyAlignment="1">
      <alignment horizontal="center" wrapText="1"/>
    </xf>
    <xf numFmtId="0" fontId="22" fillId="0" borderId="94" xfId="0" applyFont="1" applyFill="1" applyBorder="1" applyAlignment="1">
      <alignment horizontal="center" wrapText="1"/>
    </xf>
    <xf numFmtId="0" fontId="22" fillId="0" borderId="95" xfId="0" applyFont="1" applyFill="1" applyBorder="1" applyAlignment="1">
      <alignment wrapText="1"/>
    </xf>
    <xf numFmtId="3" fontId="15" fillId="0" borderId="94" xfId="0" applyNumberFormat="1" applyFont="1" applyFill="1" applyBorder="1" applyAlignment="1">
      <alignment horizontal="center"/>
    </xf>
    <xf numFmtId="0" fontId="16" fillId="0" borderId="94" xfId="0" applyFont="1" applyFill="1" applyBorder="1" applyAlignment="1">
      <alignment horizontal="center"/>
    </xf>
    <xf numFmtId="0" fontId="16" fillId="0" borderId="94" xfId="0" applyFont="1" applyFill="1" applyBorder="1" applyAlignment="1"/>
    <xf numFmtId="0" fontId="23" fillId="0" borderId="18" xfId="0" applyFont="1" applyBorder="1" applyAlignment="1">
      <alignment wrapText="1"/>
    </xf>
    <xf numFmtId="0" fontId="23" fillId="0" borderId="18" xfId="0" applyFont="1" applyBorder="1" applyAlignment="1">
      <alignment horizontal="center" wrapText="1"/>
    </xf>
    <xf numFmtId="0" fontId="16" fillId="0" borderId="18" xfId="0" applyFont="1" applyFill="1" applyBorder="1" applyAlignment="1">
      <alignment vertical="center" wrapText="1"/>
    </xf>
    <xf numFmtId="0" fontId="16" fillId="0" borderId="18" xfId="0" applyFont="1" applyFill="1" applyBorder="1" applyAlignment="1">
      <alignment wrapText="1"/>
    </xf>
    <xf numFmtId="0" fontId="16" fillId="0" borderId="13" xfId="0" applyFont="1" applyFill="1" applyBorder="1" applyAlignment="1">
      <alignment horizontal="left" wrapText="1"/>
    </xf>
    <xf numFmtId="0" fontId="22" fillId="0" borderId="92" xfId="0" applyFont="1" applyFill="1" applyBorder="1" applyAlignment="1">
      <alignment horizontal="left" wrapText="1"/>
    </xf>
    <xf numFmtId="3" fontId="22" fillId="0" borderId="15" xfId="0" applyNumberFormat="1" applyFont="1" applyFill="1" applyBorder="1" applyAlignment="1">
      <alignment horizontal="center" wrapText="1"/>
    </xf>
    <xf numFmtId="0" fontId="16" fillId="0" borderId="91" xfId="0" applyFont="1" applyFill="1" applyBorder="1" applyAlignment="1">
      <alignment horizontal="center" wrapText="1"/>
    </xf>
    <xf numFmtId="0" fontId="16" fillId="0" borderId="15" xfId="0" applyFont="1" applyFill="1" applyBorder="1" applyAlignment="1"/>
    <xf numFmtId="0" fontId="16" fillId="0" borderId="15" xfId="0" applyFont="1" applyFill="1" applyBorder="1" applyAlignment="1">
      <alignment horizontal="center"/>
    </xf>
    <xf numFmtId="0" fontId="16" fillId="0" borderId="92" xfId="0" applyFont="1" applyFill="1" applyBorder="1" applyAlignment="1">
      <alignment horizontal="left" wrapText="1"/>
    </xf>
    <xf numFmtId="0" fontId="16" fillId="0" borderId="13" xfId="0" applyFont="1" applyFill="1" applyBorder="1" applyAlignment="1">
      <alignment horizontal="center" wrapText="1"/>
    </xf>
    <xf numFmtId="0" fontId="16" fillId="0" borderId="92" xfId="0" applyFont="1" applyFill="1" applyBorder="1" applyAlignment="1">
      <alignment horizontal="center" wrapText="1"/>
    </xf>
    <xf numFmtId="0" fontId="16" fillId="0" borderId="13" xfId="0" applyFont="1" applyFill="1" applyBorder="1" applyAlignment="1"/>
    <xf numFmtId="0" fontId="16" fillId="0" borderId="92" xfId="0" applyFont="1" applyFill="1" applyBorder="1" applyAlignment="1">
      <alignment wrapText="1"/>
    </xf>
    <xf numFmtId="0" fontId="16" fillId="0" borderId="92" xfId="0" applyFont="1" applyFill="1" applyBorder="1" applyAlignment="1">
      <alignment horizontal="center"/>
    </xf>
    <xf numFmtId="0" fontId="16" fillId="0" borderId="13" xfId="1" applyFont="1" applyFill="1" applyBorder="1" applyAlignment="1">
      <alignment wrapText="1"/>
    </xf>
    <xf numFmtId="0" fontId="16" fillId="0" borderId="13" xfId="1" applyFont="1" applyFill="1" applyBorder="1" applyAlignment="1">
      <alignment horizontal="center" wrapText="1"/>
    </xf>
    <xf numFmtId="0" fontId="22" fillId="0" borderId="96" xfId="0" applyFont="1" applyFill="1" applyBorder="1" applyAlignment="1">
      <alignment horizontal="left" wrapText="1"/>
    </xf>
    <xf numFmtId="0" fontId="15" fillId="0" borderId="93" xfId="0" applyFont="1" applyFill="1" applyBorder="1" applyAlignment="1">
      <alignment horizontal="justify" wrapText="1"/>
    </xf>
    <xf numFmtId="3" fontId="15" fillId="0" borderId="96" xfId="0" applyNumberFormat="1" applyFont="1" applyFill="1" applyBorder="1" applyAlignment="1">
      <alignment horizontal="center"/>
    </xf>
    <xf numFmtId="3" fontId="15" fillId="0" borderId="93" xfId="0" applyNumberFormat="1" applyFont="1" applyFill="1" applyBorder="1" applyAlignment="1">
      <alignment horizontal="center" wrapText="1"/>
    </xf>
    <xf numFmtId="0" fontId="16" fillId="0" borderId="96" xfId="0" applyFont="1" applyFill="1" applyBorder="1" applyAlignment="1">
      <alignment horizontal="center"/>
    </xf>
    <xf numFmtId="0" fontId="16" fillId="0" borderId="93" xfId="0" applyFont="1" applyFill="1" applyBorder="1" applyAlignment="1">
      <alignment horizontal="center" wrapText="1"/>
    </xf>
    <xf numFmtId="0" fontId="0" fillId="0" borderId="0" xfId="0"/>
    <xf numFmtId="0" fontId="17" fillId="0" borderId="0" xfId="3" applyFill="1" applyAlignment="1" applyProtection="1">
      <alignment horizontal="left"/>
    </xf>
    <xf numFmtId="0" fontId="16" fillId="0" borderId="18" xfId="0" applyFont="1" applyBorder="1" applyAlignment="1">
      <alignment horizontal="center"/>
    </xf>
    <xf numFmtId="0" fontId="0" fillId="0" borderId="0" xfId="0"/>
    <xf numFmtId="0" fontId="33" fillId="6" borderId="65" xfId="0" applyFont="1" applyFill="1" applyBorder="1" applyAlignment="1">
      <alignment horizontal="center" readingOrder="1"/>
    </xf>
    <xf numFmtId="0" fontId="33" fillId="7" borderId="74" xfId="0" applyFont="1" applyFill="1" applyBorder="1" applyAlignment="1">
      <alignment horizontal="center" readingOrder="1"/>
    </xf>
    <xf numFmtId="0" fontId="33" fillId="7" borderId="66" xfId="0" applyFont="1" applyFill="1" applyBorder="1" applyAlignment="1">
      <alignment horizontal="center" readingOrder="1"/>
    </xf>
    <xf numFmtId="0" fontId="33" fillId="7" borderId="68" xfId="0" applyFont="1" applyFill="1" applyBorder="1" applyAlignment="1">
      <alignment horizontal="center" readingOrder="1"/>
    </xf>
    <xf numFmtId="0" fontId="33" fillId="7" borderId="65" xfId="0" applyFont="1" applyFill="1" applyBorder="1" applyAlignment="1">
      <alignment horizontal="center" readingOrder="1"/>
    </xf>
    <xf numFmtId="0" fontId="33" fillId="8" borderId="79" xfId="0" applyFont="1" applyFill="1" applyBorder="1" applyAlignment="1">
      <alignment horizontal="center" readingOrder="1"/>
    </xf>
    <xf numFmtId="0" fontId="33" fillId="8" borderId="68" xfId="0" applyFont="1" applyFill="1" applyBorder="1" applyAlignment="1">
      <alignment horizontal="center" readingOrder="1"/>
    </xf>
    <xf numFmtId="0" fontId="33" fillId="8" borderId="65" xfId="0" applyFont="1" applyFill="1" applyBorder="1" applyAlignment="1">
      <alignment horizontal="center" readingOrder="1"/>
    </xf>
    <xf numFmtId="0" fontId="33" fillId="8" borderId="70" xfId="0" applyFont="1" applyFill="1" applyBorder="1" applyAlignment="1">
      <alignment horizontal="center" readingOrder="1"/>
    </xf>
    <xf numFmtId="167" fontId="16" fillId="6" borderId="46" xfId="2" applyNumberFormat="1" applyFont="1" applyFill="1" applyBorder="1" applyAlignment="1">
      <alignment horizontal="center" readingOrder="1"/>
    </xf>
    <xf numFmtId="167" fontId="16" fillId="6" borderId="47" xfId="2" applyNumberFormat="1" applyFont="1" applyFill="1" applyBorder="1" applyAlignment="1">
      <alignment horizontal="center" readingOrder="1"/>
    </xf>
    <xf numFmtId="167" fontId="16" fillId="6" borderId="0" xfId="2" applyNumberFormat="1" applyFont="1" applyFill="1" applyBorder="1" applyAlignment="1">
      <alignment horizontal="center" readingOrder="1"/>
    </xf>
    <xf numFmtId="167" fontId="16" fillId="6" borderId="45" xfId="2" applyNumberFormat="1" applyFont="1" applyFill="1" applyBorder="1" applyAlignment="1">
      <alignment horizontal="center" readingOrder="1"/>
    </xf>
    <xf numFmtId="167" fontId="16" fillId="0" borderId="47" xfId="2" applyNumberFormat="1" applyFont="1" applyFill="1" applyBorder="1" applyAlignment="1">
      <alignment horizontal="center" readingOrder="1"/>
    </xf>
    <xf numFmtId="167" fontId="16" fillId="0" borderId="0" xfId="2" applyNumberFormat="1" applyFont="1" applyFill="1" applyBorder="1" applyAlignment="1">
      <alignment horizontal="center" readingOrder="1"/>
    </xf>
    <xf numFmtId="167" fontId="16" fillId="0" borderId="11" xfId="2" applyNumberFormat="1" applyFont="1" applyFill="1" applyBorder="1" applyAlignment="1">
      <alignment horizontal="center" readingOrder="1"/>
    </xf>
    <xf numFmtId="167" fontId="16" fillId="6" borderId="75" xfId="2" applyNumberFormat="1" applyFont="1" applyFill="1" applyBorder="1" applyAlignment="1">
      <alignment horizontal="center" readingOrder="1"/>
    </xf>
    <xf numFmtId="167" fontId="16" fillId="6" borderId="76" xfId="2" applyNumberFormat="1" applyFont="1" applyFill="1" applyBorder="1" applyAlignment="1">
      <alignment horizontal="center" readingOrder="1"/>
    </xf>
    <xf numFmtId="167" fontId="16" fillId="6" borderId="19" xfId="2" applyNumberFormat="1" applyFont="1" applyFill="1" applyBorder="1" applyAlignment="1">
      <alignment horizontal="center" readingOrder="1"/>
    </xf>
    <xf numFmtId="167" fontId="16" fillId="7" borderId="46" xfId="2" applyNumberFormat="1" applyFont="1" applyFill="1" applyBorder="1" applyAlignment="1">
      <alignment horizontal="center" readingOrder="1"/>
    </xf>
    <xf numFmtId="167" fontId="16" fillId="7" borderId="47" xfId="2" applyNumberFormat="1" applyFont="1" applyFill="1" applyBorder="1" applyAlignment="1">
      <alignment horizontal="center" readingOrder="1"/>
    </xf>
    <xf numFmtId="167" fontId="16" fillId="7" borderId="0" xfId="2" applyNumberFormat="1" applyFont="1" applyFill="1" applyBorder="1" applyAlignment="1">
      <alignment horizontal="center" readingOrder="1"/>
    </xf>
    <xf numFmtId="167" fontId="16" fillId="7" borderId="77" xfId="2" applyNumberFormat="1" applyFont="1" applyFill="1" applyBorder="1" applyAlignment="1">
      <alignment horizontal="center" readingOrder="1"/>
    </xf>
    <xf numFmtId="167" fontId="16" fillId="7" borderId="78" xfId="2" applyNumberFormat="1" applyFont="1" applyFill="1" applyBorder="1" applyAlignment="1">
      <alignment horizontal="center" readingOrder="1"/>
    </xf>
    <xf numFmtId="167" fontId="16" fillId="7" borderId="49" xfId="2" applyNumberFormat="1" applyFont="1" applyFill="1" applyBorder="1" applyAlignment="1">
      <alignment horizontal="center" readingOrder="1"/>
    </xf>
    <xf numFmtId="167" fontId="16" fillId="7" borderId="50" xfId="2" applyNumberFormat="1" applyFont="1" applyFill="1" applyBorder="1" applyAlignment="1">
      <alignment horizontal="center" readingOrder="1"/>
    </xf>
    <xf numFmtId="167" fontId="16" fillId="7" borderId="51" xfId="2" applyNumberFormat="1" applyFont="1" applyFill="1" applyBorder="1" applyAlignment="1">
      <alignment horizontal="center" readingOrder="1"/>
    </xf>
    <xf numFmtId="167" fontId="16" fillId="7" borderId="48" xfId="2" applyNumberFormat="1" applyFont="1" applyFill="1" applyBorder="1" applyAlignment="1">
      <alignment horizontal="center" readingOrder="1"/>
    </xf>
    <xf numFmtId="167" fontId="16" fillId="0" borderId="50" xfId="2" applyNumberFormat="1" applyFont="1" applyFill="1" applyBorder="1" applyAlignment="1">
      <alignment horizontal="center" readingOrder="1"/>
    </xf>
    <xf numFmtId="167" fontId="16" fillId="0" borderId="51" xfId="2" applyNumberFormat="1" applyFont="1" applyFill="1" applyBorder="1" applyAlignment="1">
      <alignment horizontal="center" readingOrder="1"/>
    </xf>
    <xf numFmtId="167" fontId="16" fillId="0" borderId="67" xfId="2" applyNumberFormat="1" applyFont="1" applyFill="1" applyBorder="1" applyAlignment="1">
      <alignment horizontal="center" readingOrder="1"/>
    </xf>
    <xf numFmtId="167" fontId="16" fillId="7" borderId="42" xfId="2" applyNumberFormat="1" applyFont="1" applyFill="1" applyBorder="1" applyAlignment="1">
      <alignment horizontal="center" readingOrder="1"/>
    </xf>
    <xf numFmtId="167" fontId="16" fillId="7" borderId="43" xfId="2" applyNumberFormat="1" applyFont="1" applyFill="1" applyBorder="1" applyAlignment="1">
      <alignment horizontal="center" readingOrder="1"/>
    </xf>
    <xf numFmtId="167" fontId="16" fillId="7" borderId="44" xfId="2" applyNumberFormat="1" applyFont="1" applyFill="1" applyBorder="1" applyAlignment="1">
      <alignment horizontal="center" readingOrder="1"/>
    </xf>
    <xf numFmtId="167" fontId="16" fillId="7" borderId="41" xfId="2" applyNumberFormat="1" applyFont="1" applyFill="1" applyBorder="1" applyAlignment="1">
      <alignment horizontal="center" readingOrder="1"/>
    </xf>
    <xf numFmtId="167" fontId="16" fillId="0" borderId="43" xfId="2" applyNumberFormat="1" applyFont="1" applyFill="1" applyBorder="1" applyAlignment="1">
      <alignment horizontal="center" readingOrder="1"/>
    </xf>
    <xf numFmtId="167" fontId="16" fillId="0" borderId="44" xfId="2" applyNumberFormat="1" applyFont="1" applyFill="1" applyBorder="1" applyAlignment="1">
      <alignment horizontal="center" readingOrder="1"/>
    </xf>
    <xf numFmtId="167" fontId="16" fillId="0" borderId="69" xfId="2" applyNumberFormat="1" applyFont="1" applyFill="1" applyBorder="1" applyAlignment="1">
      <alignment horizontal="center" readingOrder="1"/>
    </xf>
    <xf numFmtId="167" fontId="16" fillId="7" borderId="45" xfId="2" applyNumberFormat="1" applyFont="1" applyFill="1" applyBorder="1" applyAlignment="1">
      <alignment horizontal="center" readingOrder="1"/>
    </xf>
    <xf numFmtId="167" fontId="16" fillId="7" borderId="75" xfId="2" applyNumberFormat="1" applyFont="1" applyFill="1" applyBorder="1" applyAlignment="1">
      <alignment horizontal="center" readingOrder="1"/>
    </xf>
    <xf numFmtId="167" fontId="16" fillId="7" borderId="76" xfId="2" applyNumberFormat="1" applyFont="1" applyFill="1" applyBorder="1" applyAlignment="1">
      <alignment horizontal="center" readingOrder="1"/>
    </xf>
    <xf numFmtId="167" fontId="16" fillId="7" borderId="19" xfId="2" applyNumberFormat="1" applyFont="1" applyFill="1" applyBorder="1" applyAlignment="1">
      <alignment horizontal="center" readingOrder="1"/>
    </xf>
    <xf numFmtId="167" fontId="16" fillId="7" borderId="80" xfId="2" applyNumberFormat="1" applyFont="1" applyFill="1" applyBorder="1" applyAlignment="1">
      <alignment horizontal="center" readingOrder="1"/>
    </xf>
    <xf numFmtId="167" fontId="16" fillId="8" borderId="49" xfId="2" applyNumberFormat="1" applyFont="1" applyFill="1" applyBorder="1" applyAlignment="1">
      <alignment horizontal="center" readingOrder="1"/>
    </xf>
    <xf numFmtId="167" fontId="16" fillId="8" borderId="50" xfId="2" applyNumberFormat="1" applyFont="1" applyFill="1" applyBorder="1" applyAlignment="1">
      <alignment horizontal="center" readingOrder="1"/>
    </xf>
    <xf numFmtId="167" fontId="16" fillId="8" borderId="51" xfId="2" applyNumberFormat="1" applyFont="1" applyFill="1" applyBorder="1" applyAlignment="1">
      <alignment horizontal="center" readingOrder="1"/>
    </xf>
    <xf numFmtId="167" fontId="16" fillId="8" borderId="48" xfId="2" applyNumberFormat="1" applyFont="1" applyFill="1" applyBorder="1" applyAlignment="1">
      <alignment horizontal="center" readingOrder="1"/>
    </xf>
    <xf numFmtId="167" fontId="16" fillId="8" borderId="81" xfId="2" applyNumberFormat="1" applyFont="1" applyFill="1" applyBorder="1" applyAlignment="1">
      <alignment horizontal="center" readingOrder="1"/>
    </xf>
    <xf numFmtId="167" fontId="16" fillId="8" borderId="82" xfId="2" applyNumberFormat="1" applyFont="1" applyFill="1" applyBorder="1" applyAlignment="1">
      <alignment horizontal="center" readingOrder="1"/>
    </xf>
    <xf numFmtId="167" fontId="16" fillId="8" borderId="42" xfId="2" applyNumberFormat="1" applyFont="1" applyFill="1" applyBorder="1" applyAlignment="1">
      <alignment horizontal="center" readingOrder="1"/>
    </xf>
    <xf numFmtId="167" fontId="16" fillId="8" borderId="43" xfId="2" applyNumberFormat="1" applyFont="1" applyFill="1" applyBorder="1" applyAlignment="1">
      <alignment horizontal="center" readingOrder="1"/>
    </xf>
    <xf numFmtId="167" fontId="16" fillId="8" borderId="44" xfId="2" applyNumberFormat="1" applyFont="1" applyFill="1" applyBorder="1" applyAlignment="1">
      <alignment horizontal="center" readingOrder="1"/>
    </xf>
    <xf numFmtId="167" fontId="16" fillId="8" borderId="41" xfId="2" applyNumberFormat="1" applyFont="1" applyFill="1" applyBorder="1" applyAlignment="1">
      <alignment horizontal="center" readingOrder="1"/>
    </xf>
    <xf numFmtId="167" fontId="16" fillId="8" borderId="46" xfId="2" applyNumberFormat="1" applyFont="1" applyFill="1" applyBorder="1" applyAlignment="1">
      <alignment horizontal="center" readingOrder="1"/>
    </xf>
    <xf numFmtId="167" fontId="16" fillId="8" borderId="47" xfId="2" applyNumberFormat="1" applyFont="1" applyFill="1" applyBorder="1" applyAlignment="1">
      <alignment horizontal="center" readingOrder="1"/>
    </xf>
    <xf numFmtId="167" fontId="16" fillId="8" borderId="0" xfId="2" applyNumberFormat="1" applyFont="1" applyFill="1" applyBorder="1" applyAlignment="1">
      <alignment horizontal="center" readingOrder="1"/>
    </xf>
    <xf numFmtId="167" fontId="16" fillId="8" borderId="45" xfId="2" applyNumberFormat="1" applyFont="1" applyFill="1" applyBorder="1" applyAlignment="1">
      <alignment horizontal="center" readingOrder="1"/>
    </xf>
    <xf numFmtId="167" fontId="16" fillId="8" borderId="71" xfId="2" applyNumberFormat="1" applyFont="1" applyFill="1" applyBorder="1" applyAlignment="1">
      <alignment horizontal="center" readingOrder="1"/>
    </xf>
    <xf numFmtId="167" fontId="16" fillId="8" borderId="72" xfId="2" applyNumberFormat="1" applyFont="1" applyFill="1" applyBorder="1" applyAlignment="1">
      <alignment horizontal="center" readingOrder="1"/>
    </xf>
    <xf numFmtId="167" fontId="16" fillId="8" borderId="6" xfId="2" applyNumberFormat="1" applyFont="1" applyFill="1" applyBorder="1" applyAlignment="1">
      <alignment horizontal="center" readingOrder="1"/>
    </xf>
    <xf numFmtId="167" fontId="16" fillId="8" borderId="73" xfId="2" applyNumberFormat="1" applyFont="1" applyFill="1" applyBorder="1" applyAlignment="1">
      <alignment horizontal="center" readingOrder="1"/>
    </xf>
    <xf numFmtId="167" fontId="16" fillId="0" borderId="72" xfId="2" applyNumberFormat="1" applyFont="1" applyFill="1" applyBorder="1" applyAlignment="1">
      <alignment horizontal="center" readingOrder="1"/>
    </xf>
    <xf numFmtId="167" fontId="16" fillId="0" borderId="6" xfId="2" applyNumberFormat="1" applyFont="1" applyFill="1" applyBorder="1" applyAlignment="1">
      <alignment horizontal="center" readingOrder="1"/>
    </xf>
    <xf numFmtId="167" fontId="16" fillId="0" borderId="10" xfId="2" applyNumberFormat="1" applyFont="1" applyFill="1" applyBorder="1" applyAlignment="1">
      <alignment horizontal="center" readingOrder="1"/>
    </xf>
    <xf numFmtId="0" fontId="0" fillId="0" borderId="0" xfId="4" applyFont="1"/>
    <xf numFmtId="0" fontId="0" fillId="11" borderId="18" xfId="0" applyFont="1" applyFill="1" applyBorder="1" applyAlignment="1">
      <alignment horizontal="center"/>
    </xf>
    <xf numFmtId="12" fontId="0" fillId="11" borderId="18" xfId="0" applyNumberFormat="1" applyFont="1" applyFill="1" applyBorder="1"/>
    <xf numFmtId="168" fontId="0" fillId="11" borderId="18" xfId="0" applyNumberFormat="1" applyFont="1" applyFill="1" applyBorder="1" applyAlignment="1">
      <alignment horizontal="right"/>
    </xf>
    <xf numFmtId="169" fontId="0" fillId="11" borderId="18" xfId="0" applyNumberFormat="1" applyFont="1" applyFill="1" applyBorder="1"/>
    <xf numFmtId="169" fontId="0" fillId="11" borderId="18" xfId="0" applyNumberFormat="1" applyFont="1" applyFill="1" applyBorder="1" applyAlignment="1">
      <alignment horizontal="left" indent="2"/>
    </xf>
    <xf numFmtId="168" fontId="0" fillId="11" borderId="18" xfId="0" applyNumberFormat="1" applyFont="1" applyFill="1" applyBorder="1" applyAlignment="1">
      <alignment horizontal="left" indent="2"/>
    </xf>
    <xf numFmtId="0" fontId="0" fillId="0" borderId="0" xfId="4" applyFont="1" applyFill="1" applyBorder="1"/>
    <xf numFmtId="0" fontId="94" fillId="0" borderId="0" xfId="4" applyFont="1"/>
    <xf numFmtId="0" fontId="13" fillId="0" borderId="0" xfId="0" applyFont="1"/>
    <xf numFmtId="0" fontId="16" fillId="0" borderId="14" xfId="0" applyFont="1" applyBorder="1" applyAlignment="1">
      <alignment horizontal="center"/>
    </xf>
    <xf numFmtId="168" fontId="16" fillId="0" borderId="13" xfId="0" applyNumberFormat="1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168" fontId="16" fillId="0" borderId="12" xfId="0" applyNumberFormat="1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168" fontId="16" fillId="0" borderId="15" xfId="0" applyNumberFormat="1" applyFont="1" applyBorder="1" applyAlignment="1">
      <alignment horizontal="center"/>
    </xf>
    <xf numFmtId="168" fontId="16" fillId="0" borderId="15" xfId="4" applyNumberFormat="1" applyFont="1" applyBorder="1" applyAlignment="1">
      <alignment horizontal="center"/>
    </xf>
    <xf numFmtId="0" fontId="15" fillId="0" borderId="13" xfId="0" applyFont="1" applyBorder="1" applyAlignment="1">
      <alignment horizontal="center" wrapText="1"/>
    </xf>
    <xf numFmtId="10" fontId="16" fillId="0" borderId="13" xfId="353" applyNumberFormat="1" applyFont="1" applyBorder="1" applyAlignment="1">
      <alignment horizontal="center"/>
    </xf>
    <xf numFmtId="10" fontId="16" fillId="0" borderId="12" xfId="353" applyNumberFormat="1" applyFont="1" applyBorder="1" applyAlignment="1">
      <alignment horizontal="center"/>
    </xf>
    <xf numFmtId="10" fontId="16" fillId="0" borderId="15" xfId="353" applyNumberFormat="1" applyFont="1" applyBorder="1" applyAlignment="1">
      <alignment horizontal="center"/>
    </xf>
    <xf numFmtId="0" fontId="15" fillId="0" borderId="0" xfId="4" applyFont="1"/>
    <xf numFmtId="0" fontId="16" fillId="0" borderId="13" xfId="4" applyFont="1" applyBorder="1"/>
    <xf numFmtId="2" fontId="16" fillId="0" borderId="9" xfId="4" applyNumberFormat="1" applyFont="1" applyBorder="1"/>
    <xf numFmtId="0" fontId="16" fillId="0" borderId="15" xfId="4" applyFont="1" applyBorder="1"/>
    <xf numFmtId="2" fontId="16" fillId="0" borderId="10" xfId="4" applyNumberFormat="1" applyFont="1" applyBorder="1" applyProtection="1"/>
    <xf numFmtId="0" fontId="0" fillId="0" borderId="0" xfId="0" applyFont="1" applyFill="1"/>
    <xf numFmtId="0" fontId="16" fillId="0" borderId="12" xfId="0" applyFont="1" applyFill="1" applyBorder="1"/>
    <xf numFmtId="0" fontId="94" fillId="0" borderId="0" xfId="0" applyFont="1" applyFill="1" applyBorder="1"/>
    <xf numFmtId="0" fontId="16" fillId="0" borderId="13" xfId="0" applyFont="1" applyFill="1" applyBorder="1"/>
    <xf numFmtId="0" fontId="16" fillId="0" borderId="15" xfId="0" applyFont="1" applyFill="1" applyBorder="1"/>
    <xf numFmtId="0" fontId="16" fillId="0" borderId="5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wrapText="1"/>
    </xf>
    <xf numFmtId="0" fontId="94" fillId="0" borderId="11" xfId="0" applyFont="1" applyFill="1" applyBorder="1"/>
    <xf numFmtId="0" fontId="0" fillId="0" borderId="12" xfId="0" applyBorder="1"/>
    <xf numFmtId="0" fontId="0" fillId="0" borderId="15" xfId="0" applyBorder="1"/>
    <xf numFmtId="167" fontId="16" fillId="0" borderId="18" xfId="0" applyNumberFormat="1" applyFont="1" applyBorder="1" applyAlignment="1">
      <alignment horizontal="center"/>
    </xf>
    <xf numFmtId="167" fontId="16" fillId="0" borderId="5" xfId="0" applyNumberFormat="1" applyFont="1" applyBorder="1" applyAlignment="1">
      <alignment horizontal="center"/>
    </xf>
    <xf numFmtId="167" fontId="16" fillId="6" borderId="11" xfId="0" applyNumberFormat="1" applyFont="1" applyFill="1" applyBorder="1" applyAlignment="1">
      <alignment horizontal="center"/>
    </xf>
    <xf numFmtId="167" fontId="16" fillId="6" borderId="83" xfId="0" applyNumberFormat="1" applyFont="1" applyFill="1" applyBorder="1" applyAlignment="1">
      <alignment horizontal="center"/>
    </xf>
    <xf numFmtId="167" fontId="16" fillId="7" borderId="11" xfId="0" applyNumberFormat="1" applyFont="1" applyFill="1" applyBorder="1" applyAlignment="1">
      <alignment horizontal="center"/>
    </xf>
    <xf numFmtId="167" fontId="16" fillId="8" borderId="84" xfId="0" applyNumberFormat="1" applyFont="1" applyFill="1" applyBorder="1" applyAlignment="1">
      <alignment horizontal="center"/>
    </xf>
    <xf numFmtId="167" fontId="16" fillId="8" borderId="11" xfId="0" applyNumberFormat="1" applyFont="1" applyFill="1" applyBorder="1" applyAlignment="1">
      <alignment horizontal="center"/>
    </xf>
    <xf numFmtId="167" fontId="16" fillId="8" borderId="10" xfId="0" applyNumberFormat="1" applyFont="1" applyFill="1" applyBorder="1" applyAlignment="1">
      <alignment horizontal="center"/>
    </xf>
    <xf numFmtId="0" fontId="15" fillId="0" borderId="13" xfId="0" applyFont="1" applyBorder="1"/>
    <xf numFmtId="0" fontId="15" fillId="0" borderId="17" xfId="0" applyFont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6" fillId="0" borderId="13" xfId="0" applyFont="1" applyBorder="1"/>
    <xf numFmtId="1" fontId="16" fillId="0" borderId="9" xfId="0" applyNumberFormat="1" applyFont="1" applyBorder="1" applyAlignment="1">
      <alignment horizontal="center"/>
    </xf>
    <xf numFmtId="0" fontId="16" fillId="0" borderId="12" xfId="0" applyFont="1" applyBorder="1"/>
    <xf numFmtId="1" fontId="16" fillId="0" borderId="10" xfId="0" applyNumberFormat="1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1" fontId="16" fillId="0" borderId="5" xfId="0" applyNumberFormat="1" applyFont="1" applyBorder="1" applyAlignment="1">
      <alignment horizontal="center"/>
    </xf>
    <xf numFmtId="1" fontId="16" fillId="42" borderId="17" xfId="0" applyNumberFormat="1" applyFont="1" applyFill="1" applyBorder="1" applyAlignment="1">
      <alignment horizontal="center"/>
    </xf>
    <xf numFmtId="1" fontId="16" fillId="42" borderId="0" xfId="0" applyNumberFormat="1" applyFont="1" applyFill="1" applyBorder="1" applyAlignment="1">
      <alignment horizontal="center"/>
    </xf>
    <xf numFmtId="0" fontId="15" fillId="42" borderId="17" xfId="0" applyFont="1" applyFill="1" applyBorder="1" applyAlignment="1">
      <alignment horizontal="center"/>
    </xf>
    <xf numFmtId="1" fontId="16" fillId="42" borderId="4" xfId="0" applyNumberFormat="1" applyFont="1" applyFill="1" applyBorder="1" applyAlignment="1">
      <alignment horizontal="center"/>
    </xf>
    <xf numFmtId="0" fontId="15" fillId="42" borderId="9" xfId="0" applyFont="1" applyFill="1" applyBorder="1" applyAlignment="1">
      <alignment horizontal="center"/>
    </xf>
    <xf numFmtId="1" fontId="16" fillId="42" borderId="9" xfId="0" applyNumberFormat="1" applyFont="1" applyFill="1" applyBorder="1" applyAlignment="1">
      <alignment horizontal="center"/>
    </xf>
    <xf numFmtId="1" fontId="16" fillId="42" borderId="11" xfId="0" applyNumberFormat="1" applyFont="1" applyFill="1" applyBorder="1" applyAlignment="1">
      <alignment horizontal="center"/>
    </xf>
    <xf numFmtId="1" fontId="16" fillId="42" borderId="5" xfId="0" applyNumberFormat="1" applyFont="1" applyFill="1" applyBorder="1" applyAlignment="1">
      <alignment horizontal="center"/>
    </xf>
    <xf numFmtId="0" fontId="56" fillId="0" borderId="9" xfId="0" applyFont="1" applyFill="1" applyBorder="1"/>
    <xf numFmtId="0" fontId="56" fillId="0" borderId="0" xfId="0" applyFont="1"/>
    <xf numFmtId="0" fontId="0" fillId="0" borderId="0" xfId="0"/>
    <xf numFmtId="0" fontId="95" fillId="0" borderId="0" xfId="23" applyFill="1"/>
    <xf numFmtId="3" fontId="16" fillId="0" borderId="7" xfId="0" applyNumberFormat="1" applyFont="1" applyFill="1" applyBorder="1" applyAlignment="1">
      <alignment horizontal="center" wrapText="1"/>
    </xf>
    <xf numFmtId="3" fontId="16" fillId="0" borderId="8" xfId="0" applyNumberFormat="1" applyFont="1" applyFill="1" applyBorder="1" applyAlignment="1">
      <alignment horizontal="center" wrapText="1"/>
    </xf>
    <xf numFmtId="173" fontId="16" fillId="0" borderId="7" xfId="213" applyNumberFormat="1" applyFont="1" applyFill="1" applyBorder="1" applyAlignment="1">
      <alignment horizontal="center"/>
    </xf>
    <xf numFmtId="3" fontId="16" fillId="0" borderId="0" xfId="213" applyNumberFormat="1" applyFont="1" applyFill="1" applyBorder="1" applyAlignment="1">
      <alignment horizontal="center"/>
    </xf>
    <xf numFmtId="173" fontId="16" fillId="0" borderId="8" xfId="213" applyNumberFormat="1" applyFont="1" applyFill="1" applyBorder="1" applyAlignment="1">
      <alignment horizontal="center"/>
    </xf>
    <xf numFmtId="3" fontId="16" fillId="0" borderId="6" xfId="213" applyNumberFormat="1" applyFont="1" applyFill="1" applyBorder="1" applyAlignment="1">
      <alignment horizontal="center"/>
    </xf>
    <xf numFmtId="0" fontId="16" fillId="0" borderId="0" xfId="0" applyFont="1" applyFill="1"/>
    <xf numFmtId="0" fontId="9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 wrapText="1"/>
    </xf>
    <xf numFmtId="3" fontId="0" fillId="0" borderId="12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40" fillId="0" borderId="16" xfId="5" applyNumberFormat="1" applyFont="1" applyFill="1" applyBorder="1" applyAlignment="1">
      <alignment horizontal="center"/>
    </xf>
    <xf numFmtId="3" fontId="40" fillId="0" borderId="85" xfId="5" applyNumberFormat="1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 vertical="center"/>
    </xf>
    <xf numFmtId="3" fontId="0" fillId="0" borderId="18" xfId="0" applyNumberFormat="1" applyFont="1" applyFill="1" applyBorder="1"/>
    <xf numFmtId="3" fontId="0" fillId="0" borderId="7" xfId="0" applyNumberFormat="1" applyFont="1" applyBorder="1"/>
    <xf numFmtId="3" fontId="0" fillId="0" borderId="12" xfId="0" applyNumberFormat="1" applyFont="1" applyBorder="1"/>
    <xf numFmtId="0" fontId="15" fillId="0" borderId="16" xfId="4" applyFont="1" applyFill="1" applyBorder="1" applyAlignment="1">
      <alignment horizontal="center" vertical="center" wrapText="1"/>
    </xf>
    <xf numFmtId="0" fontId="15" fillId="0" borderId="16" xfId="4" applyFont="1" applyBorder="1" applyAlignment="1">
      <alignment horizontal="center" vertical="center"/>
    </xf>
    <xf numFmtId="0" fontId="15" fillId="0" borderId="18" xfId="4" applyFont="1" applyBorder="1" applyAlignment="1">
      <alignment horizontal="center" vertical="center" wrapText="1"/>
    </xf>
    <xf numFmtId="165" fontId="16" fillId="0" borderId="11" xfId="353" applyNumberFormat="1" applyFont="1" applyBorder="1" applyAlignment="1">
      <alignment horizontal="center"/>
    </xf>
    <xf numFmtId="165" fontId="16" fillId="0" borderId="10" xfId="353" applyNumberFormat="1" applyFont="1" applyBorder="1" applyAlignment="1">
      <alignment horizontal="center"/>
    </xf>
    <xf numFmtId="0" fontId="16" fillId="0" borderId="13" xfId="4" applyFont="1" applyBorder="1" applyAlignment="1">
      <alignment horizontal="center"/>
    </xf>
    <xf numFmtId="0" fontId="16" fillId="0" borderId="12" xfId="4" applyFont="1" applyBorder="1" applyAlignment="1">
      <alignment horizontal="center"/>
    </xf>
    <xf numFmtId="0" fontId="16" fillId="0" borderId="15" xfId="4" applyFont="1" applyBorder="1" applyAlignment="1">
      <alignment horizontal="center"/>
    </xf>
    <xf numFmtId="165" fontId="16" fillId="0" borderId="13" xfId="353" applyNumberFormat="1" applyFont="1" applyBorder="1" applyAlignment="1">
      <alignment horizontal="center"/>
    </xf>
    <xf numFmtId="165" fontId="16" fillId="0" borderId="12" xfId="353" applyNumberFormat="1" applyFont="1" applyBorder="1" applyAlignment="1">
      <alignment horizontal="center"/>
    </xf>
    <xf numFmtId="165" fontId="16" fillId="0" borderId="15" xfId="353" applyNumberFormat="1" applyFont="1" applyBorder="1" applyAlignment="1">
      <alignment horizontal="center"/>
    </xf>
    <xf numFmtId="165" fontId="16" fillId="0" borderId="0" xfId="353" applyNumberFormat="1" applyFont="1" applyFill="1" applyBorder="1" applyAlignment="1">
      <alignment horizontal="center"/>
    </xf>
    <xf numFmtId="165" fontId="16" fillId="0" borderId="6" xfId="353" applyNumberFormat="1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 vertical="center"/>
    </xf>
    <xf numFmtId="0" fontId="16" fillId="0" borderId="12" xfId="4" applyFont="1" applyFill="1" applyBorder="1" applyAlignment="1">
      <alignment wrapText="1"/>
    </xf>
    <xf numFmtId="165" fontId="16" fillId="0" borderId="11" xfId="353" applyNumberFormat="1" applyFont="1" applyFill="1" applyBorder="1" applyAlignment="1">
      <alignment horizontal="center"/>
    </xf>
    <xf numFmtId="0" fontId="16" fillId="0" borderId="15" xfId="4" applyFont="1" applyFill="1" applyBorder="1" applyAlignment="1">
      <alignment wrapText="1"/>
    </xf>
    <xf numFmtId="165" fontId="16" fillId="0" borderId="10" xfId="353" applyNumberFormat="1" applyFont="1" applyFill="1" applyBorder="1" applyAlignment="1">
      <alignment horizontal="center"/>
    </xf>
    <xf numFmtId="0" fontId="0" fillId="0" borderId="0" xfId="0"/>
    <xf numFmtId="3" fontId="40" fillId="0" borderId="5" xfId="5" applyNumberFormat="1" applyFont="1" applyFill="1" applyBorder="1" applyAlignment="1">
      <alignment horizontal="center"/>
    </xf>
    <xf numFmtId="1" fontId="91" fillId="4" borderId="13" xfId="1" applyNumberFormat="1" applyBorder="1" applyAlignment="1">
      <alignment horizontal="center"/>
    </xf>
    <xf numFmtId="1" fontId="91" fillId="4" borderId="14" xfId="1" applyNumberFormat="1" applyBorder="1" applyAlignment="1">
      <alignment horizontal="center"/>
    </xf>
    <xf numFmtId="1" fontId="91" fillId="4" borderId="9" xfId="1" applyNumberFormat="1" applyBorder="1" applyAlignment="1">
      <alignment horizontal="center"/>
    </xf>
    <xf numFmtId="3" fontId="0" fillId="48" borderId="18" xfId="0" applyNumberFormat="1" applyFill="1" applyBorder="1" applyAlignment="1">
      <alignment horizontal="center"/>
    </xf>
    <xf numFmtId="3" fontId="0" fillId="3" borderId="18" xfId="0" applyNumberFormat="1" applyFill="1" applyBorder="1" applyAlignment="1">
      <alignment horizontal="center"/>
    </xf>
    <xf numFmtId="0" fontId="15" fillId="0" borderId="13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3" fontId="0" fillId="48" borderId="14" xfId="0" applyNumberFormat="1" applyFill="1" applyBorder="1" applyAlignment="1">
      <alignment horizontal="center"/>
    </xf>
    <xf numFmtId="3" fontId="0" fillId="48" borderId="13" xfId="0" applyNumberFormat="1" applyFill="1" applyBorder="1" applyAlignment="1">
      <alignment horizontal="center"/>
    </xf>
    <xf numFmtId="3" fontId="0" fillId="48" borderId="17" xfId="0" applyNumberFormat="1" applyFill="1" applyBorder="1" applyAlignment="1">
      <alignment horizontal="center"/>
    </xf>
    <xf numFmtId="3" fontId="0" fillId="48" borderId="9" xfId="0" applyNumberFormat="1" applyFill="1" applyBorder="1" applyAlignment="1">
      <alignment horizontal="center"/>
    </xf>
    <xf numFmtId="3" fontId="0" fillId="48" borderId="18" xfId="0" applyNumberFormat="1" applyFill="1" applyBorder="1"/>
    <xf numFmtId="1" fontId="0" fillId="0" borderId="17" xfId="0" applyNumberFormat="1" applyFill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6" xfId="0" applyNumberFormat="1" applyFill="1" applyBorder="1" applyAlignment="1">
      <alignment horizontal="center"/>
    </xf>
    <xf numFmtId="0" fontId="25" fillId="0" borderId="0" xfId="0" applyFont="1"/>
    <xf numFmtId="1" fontId="0" fillId="0" borderId="18" xfId="0" applyNumberFormat="1" applyBorder="1"/>
    <xf numFmtId="1" fontId="0" fillId="48" borderId="18" xfId="0" applyNumberFormat="1" applyFill="1" applyBorder="1"/>
    <xf numFmtId="3" fontId="16" fillId="0" borderId="12" xfId="0" applyNumberFormat="1" applyFont="1" applyBorder="1" applyAlignment="1">
      <alignment horizontal="center" vertical="center"/>
    </xf>
    <xf numFmtId="3" fontId="16" fillId="0" borderId="13" xfId="0" applyNumberFormat="1" applyFont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3" fontId="16" fillId="0" borderId="15" xfId="0" applyNumberFormat="1" applyFont="1" applyBorder="1" applyAlignment="1">
      <alignment horizontal="center" vertical="center"/>
    </xf>
    <xf numFmtId="0" fontId="15" fillId="0" borderId="0" xfId="0" applyFont="1" applyFill="1" applyBorder="1" applyAlignment="1"/>
    <xf numFmtId="0" fontId="16" fillId="0" borderId="14" xfId="0" applyFont="1" applyBorder="1" applyAlignment="1"/>
    <xf numFmtId="0" fontId="15" fillId="0" borderId="16" xfId="0" applyFont="1" applyFill="1" applyBorder="1" applyAlignment="1"/>
    <xf numFmtId="0" fontId="15" fillId="0" borderId="5" xfId="0" applyFont="1" applyFill="1" applyBorder="1" applyAlignment="1"/>
    <xf numFmtId="0" fontId="16" fillId="0" borderId="7" xfId="0" applyFont="1" applyBorder="1" applyAlignment="1"/>
    <xf numFmtId="0" fontId="16" fillId="0" borderId="8" xfId="0" applyFont="1" applyBorder="1" applyAlignment="1"/>
    <xf numFmtId="0" fontId="0" fillId="0" borderId="0" xfId="4" applyFont="1" applyBorder="1"/>
    <xf numFmtId="9" fontId="16" fillId="0" borderId="9" xfId="353" applyFont="1" applyBorder="1" applyAlignment="1">
      <alignment horizontal="center"/>
    </xf>
    <xf numFmtId="9" fontId="16" fillId="0" borderId="11" xfId="353" applyFont="1" applyBorder="1" applyAlignment="1">
      <alignment horizontal="center"/>
    </xf>
    <xf numFmtId="9" fontId="16" fillId="0" borderId="10" xfId="353" applyFont="1" applyBorder="1" applyAlignment="1">
      <alignment horizontal="center"/>
    </xf>
    <xf numFmtId="0" fontId="16" fillId="0" borderId="18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vertical="center" wrapText="1"/>
    </xf>
    <xf numFmtId="0" fontId="0" fillId="0" borderId="0" xfId="0"/>
    <xf numFmtId="0" fontId="15" fillId="0" borderId="18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 wrapText="1"/>
    </xf>
    <xf numFmtId="3" fontId="16" fillId="0" borderId="12" xfId="0" applyNumberFormat="1" applyFont="1" applyFill="1" applyBorder="1" applyAlignment="1">
      <alignment horizontal="center"/>
    </xf>
    <xf numFmtId="3" fontId="16" fillId="0" borderId="15" xfId="0" applyNumberFormat="1" applyFont="1" applyFill="1" applyBorder="1" applyAlignment="1">
      <alignment horizontal="center"/>
    </xf>
    <xf numFmtId="166" fontId="16" fillId="0" borderId="8" xfId="0" applyNumberFormat="1" applyFont="1" applyBorder="1" applyAlignment="1">
      <alignment horizontal="center"/>
    </xf>
    <xf numFmtId="0" fontId="14" fillId="44" borderId="14" xfId="0" applyFont="1" applyFill="1" applyBorder="1"/>
    <xf numFmtId="0" fontId="0" fillId="44" borderId="17" xfId="0" applyFill="1" applyBorder="1"/>
    <xf numFmtId="0" fontId="0" fillId="44" borderId="9" xfId="0" applyFill="1" applyBorder="1"/>
    <xf numFmtId="0" fontId="0" fillId="44" borderId="6" xfId="0" applyFill="1" applyBorder="1"/>
    <xf numFmtId="168" fontId="0" fillId="44" borderId="10" xfId="0" applyNumberFormat="1" applyFill="1" applyBorder="1"/>
    <xf numFmtId="0" fontId="15" fillId="46" borderId="16" xfId="0" applyFont="1" applyFill="1" applyBorder="1"/>
    <xf numFmtId="0" fontId="16" fillId="46" borderId="4" xfId="0" applyFont="1" applyFill="1" applyBorder="1"/>
    <xf numFmtId="0" fontId="16" fillId="46" borderId="5" xfId="0" applyFont="1" applyFill="1" applyBorder="1"/>
    <xf numFmtId="0" fontId="16" fillId="46" borderId="0" xfId="0" applyFont="1" applyFill="1" applyBorder="1"/>
    <xf numFmtId="3" fontId="16" fillId="46" borderId="11" xfId="0" applyNumberFormat="1" applyFont="1" applyFill="1" applyBorder="1"/>
    <xf numFmtId="4" fontId="16" fillId="46" borderId="11" xfId="0" applyNumberFormat="1" applyFont="1" applyFill="1" applyBorder="1"/>
    <xf numFmtId="0" fontId="16" fillId="46" borderId="6" xfId="0" applyFont="1" applyFill="1" applyBorder="1"/>
    <xf numFmtId="4" fontId="16" fillId="46" borderId="10" xfId="0" applyNumberFormat="1" applyFont="1" applyFill="1" applyBorder="1"/>
    <xf numFmtId="0" fontId="15" fillId="0" borderId="16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3" fontId="16" fillId="0" borderId="10" xfId="0" applyNumberFormat="1" applyFont="1" applyFill="1" applyBorder="1" applyAlignment="1">
      <alignment horizontal="center"/>
    </xf>
    <xf numFmtId="0" fontId="16" fillId="0" borderId="0" xfId="213" applyNumberFormat="1" applyFont="1" applyFill="1" applyBorder="1" applyAlignment="1">
      <alignment horizontal="center"/>
    </xf>
    <xf numFmtId="49" fontId="16" fillId="0" borderId="0" xfId="213" applyNumberFormat="1" applyFont="1" applyFill="1" applyBorder="1" applyAlignment="1">
      <alignment horizontal="center"/>
    </xf>
    <xf numFmtId="0" fontId="16" fillId="0" borderId="0" xfId="213" applyFont="1" applyFill="1" applyBorder="1" applyAlignment="1">
      <alignment horizontal="center"/>
    </xf>
    <xf numFmtId="0" fontId="15" fillId="0" borderId="7" xfId="213" applyFont="1" applyFill="1" applyBorder="1" applyAlignment="1">
      <alignment horizontal="center"/>
    </xf>
    <xf numFmtId="3" fontId="16" fillId="0" borderId="11" xfId="213" applyNumberFormat="1" applyFont="1" applyFill="1" applyBorder="1" applyAlignment="1">
      <alignment horizontal="center"/>
    </xf>
    <xf numFmtId="0" fontId="15" fillId="0" borderId="8" xfId="213" applyFont="1" applyFill="1" applyBorder="1" applyAlignment="1">
      <alignment horizontal="center"/>
    </xf>
    <xf numFmtId="0" fontId="16" fillId="0" borderId="6" xfId="213" applyNumberFormat="1" applyFont="1" applyFill="1" applyBorder="1" applyAlignment="1">
      <alignment horizontal="center"/>
    </xf>
    <xf numFmtId="49" fontId="16" fillId="0" borderId="6" xfId="213" applyNumberFormat="1" applyFont="1" applyFill="1" applyBorder="1" applyAlignment="1">
      <alignment horizontal="center"/>
    </xf>
    <xf numFmtId="3" fontId="16" fillId="0" borderId="10" xfId="213" applyNumberFormat="1" applyFont="1" applyFill="1" applyBorder="1" applyAlignment="1">
      <alignment horizontal="center"/>
    </xf>
    <xf numFmtId="3" fontId="16" fillId="0" borderId="9" xfId="0" applyNumberFormat="1" applyFont="1" applyBorder="1" applyAlignment="1">
      <alignment horizontal="center"/>
    </xf>
    <xf numFmtId="3" fontId="16" fillId="0" borderId="14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15" fillId="5" borderId="18" xfId="0" applyNumberFormat="1" applyFont="1" applyFill="1" applyBorder="1" applyAlignment="1">
      <alignment horizontal="center" vertical="center" wrapText="1"/>
    </xf>
    <xf numFmtId="1" fontId="15" fillId="5" borderId="4" xfId="0" applyNumberFormat="1" applyFont="1" applyFill="1" applyBorder="1" applyAlignment="1">
      <alignment horizontal="center" vertical="center" wrapText="1"/>
    </xf>
    <xf numFmtId="1" fontId="15" fillId="5" borderId="5" xfId="0" applyNumberFormat="1" applyFont="1" applyFill="1" applyBorder="1" applyAlignment="1">
      <alignment horizontal="center" vertical="center" wrapText="1"/>
    </xf>
    <xf numFmtId="3" fontId="16" fillId="5" borderId="12" xfId="0" applyNumberFormat="1" applyFont="1" applyFill="1" applyBorder="1" applyAlignment="1">
      <alignment horizontal="left"/>
    </xf>
    <xf numFmtId="1" fontId="16" fillId="5" borderId="0" xfId="0" applyNumberFormat="1" applyFont="1" applyFill="1" applyBorder="1" applyAlignment="1">
      <alignment horizontal="center"/>
    </xf>
    <xf numFmtId="170" fontId="16" fillId="5" borderId="0" xfId="2" applyNumberFormat="1" applyFont="1" applyFill="1" applyBorder="1" applyAlignment="1">
      <alignment horizontal="center"/>
    </xf>
    <xf numFmtId="1" fontId="16" fillId="5" borderId="11" xfId="0" applyNumberFormat="1" applyFont="1" applyFill="1" applyBorder="1" applyAlignment="1">
      <alignment horizontal="center"/>
    </xf>
    <xf numFmtId="3" fontId="16" fillId="5" borderId="83" xfId="0" applyNumberFormat="1" applyFont="1" applyFill="1" applyBorder="1" applyAlignment="1">
      <alignment horizontal="left"/>
    </xf>
    <xf numFmtId="1" fontId="16" fillId="5" borderId="19" xfId="0" applyNumberFormat="1" applyFont="1" applyFill="1" applyBorder="1" applyAlignment="1">
      <alignment horizontal="center"/>
    </xf>
    <xf numFmtId="170" fontId="16" fillId="5" borderId="19" xfId="2" applyNumberFormat="1" applyFont="1" applyFill="1" applyBorder="1" applyAlignment="1">
      <alignment horizontal="center"/>
    </xf>
    <xf numFmtId="1" fontId="16" fillId="5" borderId="97" xfId="0" applyNumberFormat="1" applyFont="1" applyFill="1" applyBorder="1" applyAlignment="1">
      <alignment horizontal="center"/>
    </xf>
    <xf numFmtId="3" fontId="16" fillId="5" borderId="12" xfId="0" applyNumberFormat="1" applyFont="1" applyFill="1" applyBorder="1"/>
    <xf numFmtId="1" fontId="94" fillId="5" borderId="0" xfId="0" applyNumberFormat="1" applyFont="1" applyFill="1" applyBorder="1" applyAlignment="1">
      <alignment horizontal="center"/>
    </xf>
    <xf numFmtId="3" fontId="16" fillId="5" borderId="83" xfId="0" applyNumberFormat="1" applyFont="1" applyFill="1" applyBorder="1"/>
    <xf numFmtId="1" fontId="94" fillId="5" borderId="19" xfId="0" applyNumberFormat="1" applyFont="1" applyFill="1" applyBorder="1" applyAlignment="1">
      <alignment horizontal="center"/>
    </xf>
    <xf numFmtId="3" fontId="16" fillId="5" borderId="7" xfId="0" applyNumberFormat="1" applyFont="1" applyFill="1" applyBorder="1"/>
    <xf numFmtId="1" fontId="16" fillId="0" borderId="8" xfId="0" applyNumberFormat="1" applyFont="1" applyFill="1" applyBorder="1"/>
    <xf numFmtId="1" fontId="16" fillId="0" borderId="6" xfId="0" applyNumberFormat="1" applyFont="1" applyFill="1" applyBorder="1" applyAlignment="1">
      <alignment horizontal="center"/>
    </xf>
    <xf numFmtId="1" fontId="94" fillId="0" borderId="6" xfId="0" applyNumberFormat="1" applyFont="1" applyFill="1" applyBorder="1" applyAlignment="1">
      <alignment horizontal="center"/>
    </xf>
    <xf numFmtId="170" fontId="16" fillId="5" borderId="6" xfId="2" applyNumberFormat="1" applyFont="1" applyFill="1" applyBorder="1" applyAlignment="1">
      <alignment horizontal="center"/>
    </xf>
    <xf numFmtId="1" fontId="16" fillId="0" borderId="10" xfId="0" applyNumberFormat="1" applyFont="1" applyFill="1" applyBorder="1" applyAlignment="1">
      <alignment horizontal="center"/>
    </xf>
    <xf numFmtId="1" fontId="15" fillId="5" borderId="18" xfId="0" applyNumberFormat="1" applyFont="1" applyFill="1" applyBorder="1"/>
    <xf numFmtId="1" fontId="15" fillId="5" borderId="4" xfId="0" applyNumberFormat="1" applyFont="1" applyFill="1" applyBorder="1" applyAlignment="1">
      <alignment horizontal="center"/>
    </xf>
    <xf numFmtId="1" fontId="15" fillId="5" borderId="5" xfId="0" applyNumberFormat="1" applyFont="1" applyFill="1" applyBorder="1" applyAlignment="1">
      <alignment horizontal="center"/>
    </xf>
    <xf numFmtId="1" fontId="16" fillId="5" borderId="13" xfId="0" applyNumberFormat="1" applyFont="1" applyFill="1" applyBorder="1"/>
    <xf numFmtId="170" fontId="16" fillId="5" borderId="17" xfId="2" applyNumberFormat="1" applyFont="1" applyFill="1" applyBorder="1" applyAlignment="1">
      <alignment horizontal="center"/>
    </xf>
    <xf numFmtId="170" fontId="16" fillId="5" borderId="9" xfId="2" applyNumberFormat="1" applyFont="1" applyFill="1" applyBorder="1" applyAlignment="1">
      <alignment horizontal="center"/>
    </xf>
    <xf numFmtId="1" fontId="16" fillId="5" borderId="15" xfId="0" applyNumberFormat="1" applyFont="1" applyFill="1" applyBorder="1"/>
    <xf numFmtId="170" fontId="16" fillId="5" borderId="10" xfId="2" applyNumberFormat="1" applyFont="1" applyFill="1" applyBorder="1" applyAlignment="1">
      <alignment horizontal="center"/>
    </xf>
    <xf numFmtId="3" fontId="16" fillId="0" borderId="0" xfId="0" applyNumberFormat="1" applyFont="1" applyAlignment="1">
      <alignment horizontal="center" vertical="center"/>
    </xf>
    <xf numFmtId="3" fontId="16" fillId="0" borderId="0" xfId="0" applyNumberFormat="1" applyFont="1" applyBorder="1"/>
    <xf numFmtId="3" fontId="16" fillId="0" borderId="11" xfId="0" applyNumberFormat="1" applyFont="1" applyBorder="1"/>
    <xf numFmtId="3" fontId="16" fillId="0" borderId="6" xfId="0" applyNumberFormat="1" applyFont="1" applyBorder="1"/>
    <xf numFmtId="3" fontId="16" fillId="0" borderId="10" xfId="0" applyNumberFormat="1" applyFont="1" applyBorder="1"/>
    <xf numFmtId="3" fontId="16" fillId="0" borderId="17" xfId="0" applyNumberFormat="1" applyFont="1" applyBorder="1"/>
    <xf numFmtId="3" fontId="16" fillId="0" borderId="9" xfId="0" applyNumberFormat="1" applyFont="1" applyBorder="1"/>
    <xf numFmtId="0" fontId="15" fillId="0" borderId="17" xfId="0" applyFont="1" applyBorder="1"/>
    <xf numFmtId="0" fontId="15" fillId="0" borderId="9" xfId="0" applyFont="1" applyBorder="1"/>
    <xf numFmtId="0" fontId="15" fillId="0" borderId="12" xfId="0" applyFont="1" applyBorder="1"/>
    <xf numFmtId="0" fontId="15" fillId="0" borderId="15" xfId="0" applyFont="1" applyBorder="1"/>
    <xf numFmtId="0" fontId="15" fillId="0" borderId="4" xfId="0" applyFont="1" applyBorder="1"/>
    <xf numFmtId="0" fontId="15" fillId="0" borderId="5" xfId="0" applyFont="1" applyBorder="1"/>
    <xf numFmtId="0" fontId="15" fillId="0" borderId="10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 wrapText="1"/>
    </xf>
    <xf numFmtId="3" fontId="16" fillId="0" borderId="6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01" fillId="0" borderId="6" xfId="0" applyFont="1" applyBorder="1"/>
    <xf numFmtId="0" fontId="15" fillId="0" borderId="6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 vertical="center" wrapText="1"/>
    </xf>
    <xf numFmtId="0" fontId="0" fillId="0" borderId="0" xfId="0"/>
    <xf numFmtId="0" fontId="15" fillId="0" borderId="12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/>
    </xf>
    <xf numFmtId="0" fontId="0" fillId="0" borderId="0" xfId="0"/>
    <xf numFmtId="1" fontId="16" fillId="76" borderId="9" xfId="0" applyNumberFormat="1" applyFont="1" applyFill="1" applyBorder="1" applyAlignment="1">
      <alignment horizontal="center"/>
    </xf>
    <xf numFmtId="1" fontId="16" fillId="76" borderId="13" xfId="0" applyNumberFormat="1" applyFont="1" applyFill="1" applyBorder="1" applyAlignment="1">
      <alignment horizontal="center"/>
    </xf>
    <xf numFmtId="1" fontId="16" fillId="76" borderId="12" xfId="0" applyNumberFormat="1" applyFont="1" applyFill="1" applyBorder="1" applyAlignment="1">
      <alignment horizontal="center"/>
    </xf>
    <xf numFmtId="1" fontId="16" fillId="76" borderId="11" xfId="0" applyNumberFormat="1" applyFont="1" applyFill="1" applyBorder="1" applyAlignment="1">
      <alignment horizontal="center"/>
    </xf>
    <xf numFmtId="1" fontId="16" fillId="75" borderId="11" xfId="0" applyNumberFormat="1" applyFont="1" applyFill="1" applyBorder="1" applyAlignment="1">
      <alignment horizontal="center"/>
    </xf>
    <xf numFmtId="1" fontId="16" fillId="75" borderId="12" xfId="0" applyNumberFormat="1" applyFont="1" applyFill="1" applyBorder="1" applyAlignment="1">
      <alignment horizontal="center"/>
    </xf>
    <xf numFmtId="1" fontId="16" fillId="78" borderId="11" xfId="0" applyNumberFormat="1" applyFont="1" applyFill="1" applyBorder="1" applyAlignment="1">
      <alignment horizontal="center"/>
    </xf>
    <xf numFmtId="1" fontId="16" fillId="78" borderId="12" xfId="0" applyNumberFormat="1" applyFont="1" applyFill="1" applyBorder="1" applyAlignment="1">
      <alignment horizontal="center"/>
    </xf>
    <xf numFmtId="0" fontId="0" fillId="76" borderId="18" xfId="0" applyFill="1" applyBorder="1"/>
    <xf numFmtId="0" fontId="0" fillId="78" borderId="18" xfId="0" applyFill="1" applyBorder="1"/>
    <xf numFmtId="0" fontId="34" fillId="75" borderId="18" xfId="0" applyFont="1" applyFill="1" applyBorder="1"/>
    <xf numFmtId="0" fontId="15" fillId="0" borderId="98" xfId="0" applyFont="1" applyBorder="1" applyAlignment="1">
      <alignment horizontal="center" vertical="center"/>
    </xf>
    <xf numFmtId="0" fontId="15" fillId="0" borderId="107" xfId="0" applyFont="1" applyBorder="1" applyAlignment="1">
      <alignment horizontal="center" vertical="center"/>
    </xf>
    <xf numFmtId="0" fontId="15" fillId="0" borderId="101" xfId="0" applyFont="1" applyBorder="1" applyAlignment="1">
      <alignment horizontal="center" vertical="center" wrapText="1"/>
    </xf>
    <xf numFmtId="0" fontId="15" fillId="0" borderId="99" xfId="0" applyFont="1" applyBorder="1" applyAlignment="1">
      <alignment horizontal="center" vertical="center" wrapText="1"/>
    </xf>
    <xf numFmtId="0" fontId="15" fillId="0" borderId="99" xfId="0" applyFont="1" applyBorder="1" applyAlignment="1">
      <alignment horizontal="center" vertical="center"/>
    </xf>
    <xf numFmtId="0" fontId="15" fillId="0" borderId="100" xfId="0" applyFont="1" applyBorder="1" applyAlignment="1">
      <alignment horizontal="center" vertical="center" wrapText="1"/>
    </xf>
    <xf numFmtId="0" fontId="15" fillId="0" borderId="104" xfId="0" applyFont="1" applyBorder="1" applyAlignment="1">
      <alignment horizontal="center"/>
    </xf>
    <xf numFmtId="1" fontId="16" fillId="76" borderId="0" xfId="0" applyNumberFormat="1" applyFont="1" applyFill="1" applyBorder="1" applyAlignment="1">
      <alignment horizontal="center"/>
    </xf>
    <xf numFmtId="1" fontId="16" fillId="76" borderId="2" xfId="0" applyNumberFormat="1" applyFont="1" applyFill="1" applyBorder="1" applyAlignment="1">
      <alignment horizontal="center"/>
    </xf>
    <xf numFmtId="0" fontId="15" fillId="0" borderId="105" xfId="0" applyFont="1" applyBorder="1" applyAlignment="1">
      <alignment horizontal="center"/>
    </xf>
    <xf numFmtId="1" fontId="16" fillId="78" borderId="0" xfId="0" applyNumberFormat="1" applyFont="1" applyFill="1" applyBorder="1" applyAlignment="1">
      <alignment horizontal="center"/>
    </xf>
    <xf numFmtId="1" fontId="16" fillId="78" borderId="2" xfId="0" applyNumberFormat="1" applyFont="1" applyFill="1" applyBorder="1" applyAlignment="1">
      <alignment horizontal="center"/>
    </xf>
    <xf numFmtId="1" fontId="16" fillId="75" borderId="0" xfId="0" applyNumberFormat="1" applyFont="1" applyFill="1" applyBorder="1" applyAlignment="1">
      <alignment horizontal="center"/>
    </xf>
    <xf numFmtId="1" fontId="16" fillId="75" borderId="2" xfId="0" applyNumberFormat="1" applyFont="1" applyFill="1" applyBorder="1" applyAlignment="1">
      <alignment horizontal="center"/>
    </xf>
    <xf numFmtId="0" fontId="15" fillId="0" borderId="106" xfId="0" applyFont="1" applyBorder="1" applyAlignment="1">
      <alignment horizontal="center"/>
    </xf>
    <xf numFmtId="1" fontId="16" fillId="75" borderId="3" xfId="0" applyNumberFormat="1" applyFont="1" applyFill="1" applyBorder="1" applyAlignment="1">
      <alignment horizontal="center"/>
    </xf>
    <xf numFmtId="1" fontId="16" fillId="75" borderId="102" xfId="0" applyNumberFormat="1" applyFont="1" applyFill="1" applyBorder="1" applyAlignment="1">
      <alignment horizontal="center"/>
    </xf>
    <xf numFmtId="1" fontId="16" fillId="78" borderId="103" xfId="0" applyNumberFormat="1" applyFont="1" applyFill="1" applyBorder="1" applyAlignment="1">
      <alignment horizontal="center"/>
    </xf>
    <xf numFmtId="1" fontId="16" fillId="78" borderId="1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23" fillId="0" borderId="18" xfId="0" applyFont="1" applyFill="1" applyBorder="1" applyAlignment="1">
      <alignment horizontal="center" vertical="center" wrapText="1"/>
    </xf>
    <xf numFmtId="0" fontId="16" fillId="0" borderId="91" xfId="0" applyFont="1" applyFill="1" applyBorder="1" applyAlignment="1">
      <alignment wrapText="1"/>
    </xf>
    <xf numFmtId="0" fontId="0" fillId="0" borderId="93" xfId="0" applyBorder="1"/>
    <xf numFmtId="0" fontId="0" fillId="0" borderId="0" xfId="0"/>
    <xf numFmtId="0" fontId="16" fillId="0" borderId="15" xfId="0" applyFont="1" applyFill="1" applyBorder="1" applyAlignment="1">
      <alignment horizontal="center" wrapText="1"/>
    </xf>
    <xf numFmtId="0" fontId="23" fillId="0" borderId="18" xfId="0" applyFont="1" applyFill="1" applyBorder="1" applyAlignment="1">
      <alignment wrapText="1"/>
    </xf>
    <xf numFmtId="0" fontId="23" fillId="0" borderId="13" xfId="0" applyFont="1" applyFill="1" applyBorder="1" applyAlignment="1">
      <alignment wrapText="1"/>
    </xf>
    <xf numFmtId="0" fontId="23" fillId="0" borderId="91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 wrapText="1"/>
    </xf>
    <xf numFmtId="0" fontId="22" fillId="0" borderId="92" xfId="0" applyFont="1" applyFill="1" applyBorder="1" applyAlignment="1">
      <alignment wrapText="1"/>
    </xf>
    <xf numFmtId="0" fontId="22" fillId="0" borderId="92" xfId="0" applyFont="1" applyFill="1" applyBorder="1" applyAlignment="1">
      <alignment horizontal="center" wrapText="1"/>
    </xf>
    <xf numFmtId="0" fontId="16" fillId="0" borderId="91" xfId="1" applyFont="1" applyFill="1" applyBorder="1" applyAlignment="1">
      <alignment wrapText="1"/>
    </xf>
    <xf numFmtId="3" fontId="16" fillId="0" borderId="13" xfId="1" applyNumberFormat="1" applyFont="1" applyFill="1" applyBorder="1" applyAlignment="1">
      <alignment horizontal="center" wrapText="1"/>
    </xf>
    <xf numFmtId="3" fontId="12" fillId="42" borderId="7" xfId="0" applyNumberFormat="1" applyFont="1" applyFill="1" applyBorder="1"/>
    <xf numFmtId="3" fontId="40" fillId="0" borderId="87" xfId="5" applyNumberFormat="1" applyFont="1" applyFill="1" applyBorder="1" applyAlignment="1">
      <alignment horizontal="center"/>
    </xf>
    <xf numFmtId="9" fontId="14" fillId="45" borderId="89" xfId="0" applyNumberFormat="1" applyFont="1" applyFill="1" applyBorder="1" applyAlignment="1">
      <alignment horizontal="center"/>
    </xf>
    <xf numFmtId="9" fontId="14" fillId="10" borderId="89" xfId="0" applyNumberFormat="1" applyFont="1" applyFill="1" applyBorder="1" applyAlignment="1">
      <alignment horizontal="center"/>
    </xf>
    <xf numFmtId="0" fontId="28" fillId="0" borderId="0" xfId="0" applyFont="1"/>
    <xf numFmtId="1" fontId="91" fillId="4" borderId="18" xfId="1" applyNumberFormat="1" applyBorder="1" applyAlignment="1"/>
    <xf numFmtId="1" fontId="17" fillId="0" borderId="0" xfId="3" applyNumberFormat="1" applyBorder="1" applyAlignment="1" applyProtection="1"/>
    <xf numFmtId="0" fontId="25" fillId="2" borderId="6" xfId="0" applyFont="1" applyFill="1" applyBorder="1" applyAlignment="1">
      <alignment horizontal="left"/>
    </xf>
    <xf numFmtId="14" fontId="0" fillId="0" borderId="0" xfId="0" applyNumberFormat="1" applyAlignment="1">
      <alignment horizontal="left"/>
    </xf>
    <xf numFmtId="0" fontId="15" fillId="0" borderId="16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1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/>
    </xf>
    <xf numFmtId="0" fontId="16" fillId="0" borderId="16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0" fontId="15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 wrapText="1"/>
    </xf>
    <xf numFmtId="0" fontId="101" fillId="0" borderId="6" xfId="0" applyFont="1" applyFill="1" applyBorder="1" applyAlignment="1">
      <alignment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46" borderId="7" xfId="0" applyFont="1" applyFill="1" applyBorder="1"/>
    <xf numFmtId="0" fontId="16" fillId="46" borderId="0" xfId="0" applyFont="1" applyFill="1" applyBorder="1"/>
    <xf numFmtId="0" fontId="16" fillId="46" borderId="8" xfId="0" applyFont="1" applyFill="1" applyBorder="1"/>
    <xf numFmtId="0" fontId="16" fillId="46" borderId="6" xfId="0" applyFont="1" applyFill="1" applyBorder="1"/>
    <xf numFmtId="0" fontId="22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7" fillId="0" borderId="0" xfId="3" applyFill="1" applyAlignment="1" applyProtection="1">
      <alignment horizontal="left"/>
    </xf>
    <xf numFmtId="0" fontId="15" fillId="0" borderId="18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left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0" fillId="44" borderId="14" xfId="0" applyFill="1" applyBorder="1" applyAlignment="1">
      <alignment horizontal="left"/>
    </xf>
    <xf numFmtId="0" fontId="0" fillId="44" borderId="17" xfId="0" applyFill="1" applyBorder="1" applyAlignment="1">
      <alignment horizontal="left"/>
    </xf>
    <xf numFmtId="0" fontId="0" fillId="44" borderId="8" xfId="0" applyFill="1" applyBorder="1" applyAlignment="1"/>
    <xf numFmtId="0" fontId="0" fillId="44" borderId="6" xfId="0" applyFill="1" applyBorder="1" applyAlignment="1"/>
  </cellXfs>
  <cellStyles count="575">
    <cellStyle name="20 % - Markeringsfarve1" xfId="26" builtinId="30" customBuiltin="1"/>
    <cellStyle name="20 % - Markeringsfarve1 2" xfId="74"/>
    <cellStyle name="20 % - Markeringsfarve1 2 2" xfId="190"/>
    <cellStyle name="20 % - Markeringsfarve1 2 2 2" xfId="297"/>
    <cellStyle name="20 % - Markeringsfarve1 2 2 2 2" xfId="356"/>
    <cellStyle name="20 % - Markeringsfarve1 2 2 3" xfId="355"/>
    <cellStyle name="20 % - Markeringsfarve1 2 3" xfId="253"/>
    <cellStyle name="20 % - Markeringsfarve1 2 3 2" xfId="357"/>
    <cellStyle name="20 % - Markeringsfarve1 2 4" xfId="354"/>
    <cellStyle name="20 % - Markeringsfarve1 3" xfId="162"/>
    <cellStyle name="20 % - Markeringsfarve1 3 2" xfId="271"/>
    <cellStyle name="20 % - Markeringsfarve1 3 2 2" xfId="359"/>
    <cellStyle name="20 % - Markeringsfarve1 3 3" xfId="358"/>
    <cellStyle name="20 % - Markeringsfarve1 4" xfId="215"/>
    <cellStyle name="20 % - Markeringsfarve1 4 2" xfId="321"/>
    <cellStyle name="20 % - Markeringsfarve1 4 2 2" xfId="361"/>
    <cellStyle name="20 % - Markeringsfarve1 4 3" xfId="360"/>
    <cellStyle name="20 % - Markeringsfarve1 5" xfId="337"/>
    <cellStyle name="20 % - Markeringsfarve1 5 2" xfId="362"/>
    <cellStyle name="20 % - Markeringsfarve1 6" xfId="227"/>
    <cellStyle name="20 % - Markeringsfarve1 6 2" xfId="363"/>
    <cellStyle name="20 % - Markeringsfarve2" xfId="30" builtinId="34" customBuiltin="1"/>
    <cellStyle name="20 % - Markeringsfarve2 2" xfId="76"/>
    <cellStyle name="20 % - Markeringsfarve2 2 2" xfId="192"/>
    <cellStyle name="20 % - Markeringsfarve2 2 2 2" xfId="299"/>
    <cellStyle name="20 % - Markeringsfarve2 2 2 2 2" xfId="366"/>
    <cellStyle name="20 % - Markeringsfarve2 2 2 3" xfId="365"/>
    <cellStyle name="20 % - Markeringsfarve2 2 3" xfId="255"/>
    <cellStyle name="20 % - Markeringsfarve2 2 3 2" xfId="367"/>
    <cellStyle name="20 % - Markeringsfarve2 2 4" xfId="364"/>
    <cellStyle name="20 % - Markeringsfarve2 3" xfId="164"/>
    <cellStyle name="20 % - Markeringsfarve2 3 2" xfId="273"/>
    <cellStyle name="20 % - Markeringsfarve2 3 2 2" xfId="369"/>
    <cellStyle name="20 % - Markeringsfarve2 3 3" xfId="368"/>
    <cellStyle name="20 % - Markeringsfarve2 4" xfId="217"/>
    <cellStyle name="20 % - Markeringsfarve2 4 2" xfId="323"/>
    <cellStyle name="20 % - Markeringsfarve2 4 2 2" xfId="371"/>
    <cellStyle name="20 % - Markeringsfarve2 4 3" xfId="370"/>
    <cellStyle name="20 % - Markeringsfarve2 5" xfId="339"/>
    <cellStyle name="20 % - Markeringsfarve2 5 2" xfId="372"/>
    <cellStyle name="20 % - Markeringsfarve2 6" xfId="229"/>
    <cellStyle name="20 % - Markeringsfarve2 6 2" xfId="373"/>
    <cellStyle name="20 % - Markeringsfarve3" xfId="34" builtinId="38" customBuiltin="1"/>
    <cellStyle name="20 % - Markeringsfarve3 2" xfId="78"/>
    <cellStyle name="20 % - Markeringsfarve3 2 2" xfId="194"/>
    <cellStyle name="20 % - Markeringsfarve3 2 2 2" xfId="301"/>
    <cellStyle name="20 % - Markeringsfarve3 2 2 2 2" xfId="376"/>
    <cellStyle name="20 % - Markeringsfarve3 2 2 3" xfId="375"/>
    <cellStyle name="20 % - Markeringsfarve3 2 3" xfId="257"/>
    <cellStyle name="20 % - Markeringsfarve3 2 3 2" xfId="377"/>
    <cellStyle name="20 % - Markeringsfarve3 2 4" xfId="374"/>
    <cellStyle name="20 % - Markeringsfarve3 3" xfId="166"/>
    <cellStyle name="20 % - Markeringsfarve3 3 2" xfId="275"/>
    <cellStyle name="20 % - Markeringsfarve3 3 2 2" xfId="379"/>
    <cellStyle name="20 % - Markeringsfarve3 3 3" xfId="378"/>
    <cellStyle name="20 % - Markeringsfarve3 4" xfId="219"/>
    <cellStyle name="20 % - Markeringsfarve3 4 2" xfId="325"/>
    <cellStyle name="20 % - Markeringsfarve3 4 2 2" xfId="381"/>
    <cellStyle name="20 % - Markeringsfarve3 4 3" xfId="380"/>
    <cellStyle name="20 % - Markeringsfarve3 5" xfId="341"/>
    <cellStyle name="20 % - Markeringsfarve3 5 2" xfId="382"/>
    <cellStyle name="20 % - Markeringsfarve3 6" xfId="231"/>
    <cellStyle name="20 % - Markeringsfarve3 6 2" xfId="383"/>
    <cellStyle name="20 % - Markeringsfarve4" xfId="38" builtinId="42" customBuiltin="1"/>
    <cellStyle name="20 % - Markeringsfarve4 2" xfId="80"/>
    <cellStyle name="20 % - Markeringsfarve4 2 2" xfId="196"/>
    <cellStyle name="20 % - Markeringsfarve4 2 2 2" xfId="303"/>
    <cellStyle name="20 % - Markeringsfarve4 2 2 2 2" xfId="386"/>
    <cellStyle name="20 % - Markeringsfarve4 2 2 3" xfId="385"/>
    <cellStyle name="20 % - Markeringsfarve4 2 3" xfId="259"/>
    <cellStyle name="20 % - Markeringsfarve4 2 3 2" xfId="387"/>
    <cellStyle name="20 % - Markeringsfarve4 2 4" xfId="384"/>
    <cellStyle name="20 % - Markeringsfarve4 3" xfId="168"/>
    <cellStyle name="20 % - Markeringsfarve4 3 2" xfId="277"/>
    <cellStyle name="20 % - Markeringsfarve4 3 2 2" xfId="389"/>
    <cellStyle name="20 % - Markeringsfarve4 3 3" xfId="388"/>
    <cellStyle name="20 % - Markeringsfarve4 4" xfId="221"/>
    <cellStyle name="20 % - Markeringsfarve4 4 2" xfId="327"/>
    <cellStyle name="20 % - Markeringsfarve4 4 2 2" xfId="391"/>
    <cellStyle name="20 % - Markeringsfarve4 4 3" xfId="390"/>
    <cellStyle name="20 % - Markeringsfarve4 5" xfId="343"/>
    <cellStyle name="20 % - Markeringsfarve4 5 2" xfId="392"/>
    <cellStyle name="20 % - Markeringsfarve4 6" xfId="233"/>
    <cellStyle name="20 % - Markeringsfarve4 6 2" xfId="393"/>
    <cellStyle name="20 % - Markeringsfarve5" xfId="42" builtinId="46" customBuiltin="1"/>
    <cellStyle name="20 % - Markeringsfarve5 2" xfId="82"/>
    <cellStyle name="20 % - Markeringsfarve5 2 2" xfId="198"/>
    <cellStyle name="20 % - Markeringsfarve5 2 2 2" xfId="305"/>
    <cellStyle name="20 % - Markeringsfarve5 2 2 2 2" xfId="396"/>
    <cellStyle name="20 % - Markeringsfarve5 2 2 3" xfId="395"/>
    <cellStyle name="20 % - Markeringsfarve5 2 3" xfId="261"/>
    <cellStyle name="20 % - Markeringsfarve5 2 3 2" xfId="397"/>
    <cellStyle name="20 % - Markeringsfarve5 2 4" xfId="394"/>
    <cellStyle name="20 % - Markeringsfarve5 3" xfId="170"/>
    <cellStyle name="20 % - Markeringsfarve5 3 2" xfId="279"/>
    <cellStyle name="20 % - Markeringsfarve5 3 2 2" xfId="399"/>
    <cellStyle name="20 % - Markeringsfarve5 3 3" xfId="398"/>
    <cellStyle name="20 % - Markeringsfarve5 4" xfId="223"/>
    <cellStyle name="20 % - Markeringsfarve5 4 2" xfId="329"/>
    <cellStyle name="20 % - Markeringsfarve5 4 2 2" xfId="401"/>
    <cellStyle name="20 % - Markeringsfarve5 4 3" xfId="400"/>
    <cellStyle name="20 % - Markeringsfarve5 5" xfId="345"/>
    <cellStyle name="20 % - Markeringsfarve5 5 2" xfId="402"/>
    <cellStyle name="20 % - Markeringsfarve5 6" xfId="235"/>
    <cellStyle name="20 % - Markeringsfarve5 6 2" xfId="403"/>
    <cellStyle name="20 % - Markeringsfarve6" xfId="46" builtinId="50" customBuiltin="1"/>
    <cellStyle name="20 % - Markeringsfarve6 2" xfId="84"/>
    <cellStyle name="20 % - Markeringsfarve6 2 2" xfId="200"/>
    <cellStyle name="20 % - Markeringsfarve6 2 2 2" xfId="307"/>
    <cellStyle name="20 % - Markeringsfarve6 2 2 2 2" xfId="406"/>
    <cellStyle name="20 % - Markeringsfarve6 2 2 3" xfId="405"/>
    <cellStyle name="20 % - Markeringsfarve6 2 3" xfId="263"/>
    <cellStyle name="20 % - Markeringsfarve6 2 3 2" xfId="407"/>
    <cellStyle name="20 % - Markeringsfarve6 2 4" xfId="404"/>
    <cellStyle name="20 % - Markeringsfarve6 3" xfId="172"/>
    <cellStyle name="20 % - Markeringsfarve6 3 2" xfId="281"/>
    <cellStyle name="20 % - Markeringsfarve6 3 2 2" xfId="409"/>
    <cellStyle name="20 % - Markeringsfarve6 3 3" xfId="408"/>
    <cellStyle name="20 % - Markeringsfarve6 4" xfId="225"/>
    <cellStyle name="20 % - Markeringsfarve6 4 2" xfId="331"/>
    <cellStyle name="20 % - Markeringsfarve6 4 2 2" xfId="411"/>
    <cellStyle name="20 % - Markeringsfarve6 4 3" xfId="410"/>
    <cellStyle name="20 % - Markeringsfarve6 5" xfId="347"/>
    <cellStyle name="20 % - Markeringsfarve6 5 2" xfId="412"/>
    <cellStyle name="20 % - Markeringsfarve6 6" xfId="237"/>
    <cellStyle name="20 % - Markeringsfarve6 6 2" xfId="413"/>
    <cellStyle name="20% - Accent1 2" xfId="108"/>
    <cellStyle name="20% - Accent2 2" xfId="109"/>
    <cellStyle name="20% - Accent3 2" xfId="110"/>
    <cellStyle name="20% - Accent4 2" xfId="111"/>
    <cellStyle name="20% - Accent5 2" xfId="112"/>
    <cellStyle name="20% - Accent6 2" xfId="113"/>
    <cellStyle name="40 % - Markeringsfarve1" xfId="27" builtinId="31" customBuiltin="1"/>
    <cellStyle name="40 % - Markeringsfarve1 2" xfId="75"/>
    <cellStyle name="40 % - Markeringsfarve1 2 2" xfId="191"/>
    <cellStyle name="40 % - Markeringsfarve1 2 2 2" xfId="298"/>
    <cellStyle name="40 % - Markeringsfarve1 2 2 2 2" xfId="416"/>
    <cellStyle name="40 % - Markeringsfarve1 2 2 3" xfId="415"/>
    <cellStyle name="40 % - Markeringsfarve1 2 3" xfId="254"/>
    <cellStyle name="40 % - Markeringsfarve1 2 3 2" xfId="417"/>
    <cellStyle name="40 % - Markeringsfarve1 2 4" xfId="414"/>
    <cellStyle name="40 % - Markeringsfarve1 3" xfId="163"/>
    <cellStyle name="40 % - Markeringsfarve1 3 2" xfId="272"/>
    <cellStyle name="40 % - Markeringsfarve1 3 2 2" xfId="419"/>
    <cellStyle name="40 % - Markeringsfarve1 3 3" xfId="418"/>
    <cellStyle name="40 % - Markeringsfarve1 4" xfId="216"/>
    <cellStyle name="40 % - Markeringsfarve1 4 2" xfId="322"/>
    <cellStyle name="40 % - Markeringsfarve1 4 2 2" xfId="421"/>
    <cellStyle name="40 % - Markeringsfarve1 4 3" xfId="420"/>
    <cellStyle name="40 % - Markeringsfarve1 5" xfId="338"/>
    <cellStyle name="40 % - Markeringsfarve1 5 2" xfId="422"/>
    <cellStyle name="40 % - Markeringsfarve1 6" xfId="228"/>
    <cellStyle name="40 % - Markeringsfarve1 6 2" xfId="423"/>
    <cellStyle name="40 % - Markeringsfarve2" xfId="31" builtinId="35" customBuiltin="1"/>
    <cellStyle name="40 % - Markeringsfarve2 2" xfId="77"/>
    <cellStyle name="40 % - Markeringsfarve2 2 2" xfId="193"/>
    <cellStyle name="40 % - Markeringsfarve2 2 2 2" xfId="300"/>
    <cellStyle name="40 % - Markeringsfarve2 2 2 2 2" xfId="426"/>
    <cellStyle name="40 % - Markeringsfarve2 2 2 3" xfId="425"/>
    <cellStyle name="40 % - Markeringsfarve2 2 3" xfId="256"/>
    <cellStyle name="40 % - Markeringsfarve2 2 3 2" xfId="427"/>
    <cellStyle name="40 % - Markeringsfarve2 2 4" xfId="424"/>
    <cellStyle name="40 % - Markeringsfarve2 3" xfId="165"/>
    <cellStyle name="40 % - Markeringsfarve2 3 2" xfId="274"/>
    <cellStyle name="40 % - Markeringsfarve2 3 2 2" xfId="429"/>
    <cellStyle name="40 % - Markeringsfarve2 3 3" xfId="428"/>
    <cellStyle name="40 % - Markeringsfarve2 4" xfId="218"/>
    <cellStyle name="40 % - Markeringsfarve2 4 2" xfId="324"/>
    <cellStyle name="40 % - Markeringsfarve2 4 2 2" xfId="431"/>
    <cellStyle name="40 % - Markeringsfarve2 4 3" xfId="430"/>
    <cellStyle name="40 % - Markeringsfarve2 5" xfId="340"/>
    <cellStyle name="40 % - Markeringsfarve2 5 2" xfId="432"/>
    <cellStyle name="40 % - Markeringsfarve2 6" xfId="230"/>
    <cellStyle name="40 % - Markeringsfarve2 6 2" xfId="433"/>
    <cellStyle name="40 % - Markeringsfarve3" xfId="35" builtinId="39" customBuiltin="1"/>
    <cellStyle name="40 % - Markeringsfarve3 2" xfId="79"/>
    <cellStyle name="40 % - Markeringsfarve3 2 2" xfId="195"/>
    <cellStyle name="40 % - Markeringsfarve3 2 2 2" xfId="302"/>
    <cellStyle name="40 % - Markeringsfarve3 2 2 2 2" xfId="436"/>
    <cellStyle name="40 % - Markeringsfarve3 2 2 3" xfId="435"/>
    <cellStyle name="40 % - Markeringsfarve3 2 3" xfId="258"/>
    <cellStyle name="40 % - Markeringsfarve3 2 3 2" xfId="437"/>
    <cellStyle name="40 % - Markeringsfarve3 2 4" xfId="434"/>
    <cellStyle name="40 % - Markeringsfarve3 3" xfId="167"/>
    <cellStyle name="40 % - Markeringsfarve3 3 2" xfId="276"/>
    <cellStyle name="40 % - Markeringsfarve3 3 2 2" xfId="439"/>
    <cellStyle name="40 % - Markeringsfarve3 3 3" xfId="438"/>
    <cellStyle name="40 % - Markeringsfarve3 4" xfId="220"/>
    <cellStyle name="40 % - Markeringsfarve3 4 2" xfId="326"/>
    <cellStyle name="40 % - Markeringsfarve3 4 2 2" xfId="441"/>
    <cellStyle name="40 % - Markeringsfarve3 4 3" xfId="440"/>
    <cellStyle name="40 % - Markeringsfarve3 5" xfId="342"/>
    <cellStyle name="40 % - Markeringsfarve3 5 2" xfId="442"/>
    <cellStyle name="40 % - Markeringsfarve3 6" xfId="232"/>
    <cellStyle name="40 % - Markeringsfarve3 6 2" xfId="443"/>
    <cellStyle name="40 % - Markeringsfarve4" xfId="39" builtinId="43" customBuiltin="1"/>
    <cellStyle name="40 % - Markeringsfarve4 2" xfId="81"/>
    <cellStyle name="40 % - Markeringsfarve4 2 2" xfId="197"/>
    <cellStyle name="40 % - Markeringsfarve4 2 2 2" xfId="304"/>
    <cellStyle name="40 % - Markeringsfarve4 2 2 2 2" xfId="446"/>
    <cellStyle name="40 % - Markeringsfarve4 2 2 3" xfId="445"/>
    <cellStyle name="40 % - Markeringsfarve4 2 3" xfId="260"/>
    <cellStyle name="40 % - Markeringsfarve4 2 3 2" xfId="447"/>
    <cellStyle name="40 % - Markeringsfarve4 2 4" xfId="444"/>
    <cellStyle name="40 % - Markeringsfarve4 3" xfId="169"/>
    <cellStyle name="40 % - Markeringsfarve4 3 2" xfId="278"/>
    <cellStyle name="40 % - Markeringsfarve4 3 2 2" xfId="449"/>
    <cellStyle name="40 % - Markeringsfarve4 3 3" xfId="448"/>
    <cellStyle name="40 % - Markeringsfarve4 4" xfId="222"/>
    <cellStyle name="40 % - Markeringsfarve4 4 2" xfId="328"/>
    <cellStyle name="40 % - Markeringsfarve4 4 2 2" xfId="451"/>
    <cellStyle name="40 % - Markeringsfarve4 4 3" xfId="450"/>
    <cellStyle name="40 % - Markeringsfarve4 5" xfId="344"/>
    <cellStyle name="40 % - Markeringsfarve4 5 2" xfId="452"/>
    <cellStyle name="40 % - Markeringsfarve4 6" xfId="234"/>
    <cellStyle name="40 % - Markeringsfarve4 6 2" xfId="453"/>
    <cellStyle name="40 % - Markeringsfarve5" xfId="43" builtinId="47" customBuiltin="1"/>
    <cellStyle name="40 % - Markeringsfarve5 2" xfId="83"/>
    <cellStyle name="40 % - Markeringsfarve5 2 2" xfId="199"/>
    <cellStyle name="40 % - Markeringsfarve5 2 2 2" xfId="306"/>
    <cellStyle name="40 % - Markeringsfarve5 2 2 2 2" xfId="456"/>
    <cellStyle name="40 % - Markeringsfarve5 2 2 3" xfId="455"/>
    <cellStyle name="40 % - Markeringsfarve5 2 3" xfId="262"/>
    <cellStyle name="40 % - Markeringsfarve5 2 3 2" xfId="457"/>
    <cellStyle name="40 % - Markeringsfarve5 2 4" xfId="454"/>
    <cellStyle name="40 % - Markeringsfarve5 3" xfId="171"/>
    <cellStyle name="40 % - Markeringsfarve5 3 2" xfId="280"/>
    <cellStyle name="40 % - Markeringsfarve5 3 2 2" xfId="459"/>
    <cellStyle name="40 % - Markeringsfarve5 3 3" xfId="458"/>
    <cellStyle name="40 % - Markeringsfarve5 4" xfId="224"/>
    <cellStyle name="40 % - Markeringsfarve5 4 2" xfId="330"/>
    <cellStyle name="40 % - Markeringsfarve5 4 2 2" xfId="461"/>
    <cellStyle name="40 % - Markeringsfarve5 4 3" xfId="460"/>
    <cellStyle name="40 % - Markeringsfarve5 5" xfId="346"/>
    <cellStyle name="40 % - Markeringsfarve5 5 2" xfId="462"/>
    <cellStyle name="40 % - Markeringsfarve5 6" xfId="236"/>
    <cellStyle name="40 % - Markeringsfarve5 6 2" xfId="463"/>
    <cellStyle name="40 % - Markeringsfarve6" xfId="47" builtinId="51" customBuiltin="1"/>
    <cellStyle name="40 % - Markeringsfarve6 2" xfId="85"/>
    <cellStyle name="40 % - Markeringsfarve6 2 2" xfId="201"/>
    <cellStyle name="40 % - Markeringsfarve6 2 2 2" xfId="308"/>
    <cellStyle name="40 % - Markeringsfarve6 2 2 2 2" xfId="466"/>
    <cellStyle name="40 % - Markeringsfarve6 2 2 3" xfId="465"/>
    <cellStyle name="40 % - Markeringsfarve6 2 3" xfId="264"/>
    <cellStyle name="40 % - Markeringsfarve6 2 3 2" xfId="467"/>
    <cellStyle name="40 % - Markeringsfarve6 2 4" xfId="464"/>
    <cellStyle name="40 % - Markeringsfarve6 3" xfId="173"/>
    <cellStyle name="40 % - Markeringsfarve6 3 2" xfId="282"/>
    <cellStyle name="40 % - Markeringsfarve6 3 2 2" xfId="469"/>
    <cellStyle name="40 % - Markeringsfarve6 3 3" xfId="468"/>
    <cellStyle name="40 % - Markeringsfarve6 4" xfId="226"/>
    <cellStyle name="40 % - Markeringsfarve6 4 2" xfId="332"/>
    <cellStyle name="40 % - Markeringsfarve6 4 2 2" xfId="471"/>
    <cellStyle name="40 % - Markeringsfarve6 4 3" xfId="470"/>
    <cellStyle name="40 % - Markeringsfarve6 5" xfId="348"/>
    <cellStyle name="40 % - Markeringsfarve6 5 2" xfId="472"/>
    <cellStyle name="40 % - Markeringsfarve6 6" xfId="238"/>
    <cellStyle name="40 % - Markeringsfarve6 6 2" xfId="473"/>
    <cellStyle name="40% - Accent1 2" xfId="114"/>
    <cellStyle name="40% - Accent2 2" xfId="115"/>
    <cellStyle name="40% - Accent3 2" xfId="116"/>
    <cellStyle name="40% - Accent4 2" xfId="117"/>
    <cellStyle name="40% - Accent5 2" xfId="118"/>
    <cellStyle name="40% - Accent6 2" xfId="119"/>
    <cellStyle name="60 % - Markeringsfarve1" xfId="28" builtinId="32" customBuiltin="1"/>
    <cellStyle name="60 % - Markeringsfarve2" xfId="32" builtinId="36" customBuiltin="1"/>
    <cellStyle name="60 % - Markeringsfarve3" xfId="36" builtinId="40" customBuiltin="1"/>
    <cellStyle name="60 % - Markeringsfarve4" xfId="40" builtinId="44" customBuiltin="1"/>
    <cellStyle name="60 % - Markeringsfarve5" xfId="44" builtinId="48" customBuiltin="1"/>
    <cellStyle name="60 % - Markeringsfarve6" xfId="48" builtinId="52" customBuiltin="1"/>
    <cellStyle name="60% - Accent1 2" xfId="120"/>
    <cellStyle name="60% - Accent2 2" xfId="121"/>
    <cellStyle name="60% - Accent3 2" xfId="122"/>
    <cellStyle name="60% - Accent4 2" xfId="123"/>
    <cellStyle name="60% - Accent5 2" xfId="124"/>
    <cellStyle name="60% - Accent6 2" xfId="125"/>
    <cellStyle name="Accent1 2" xfId="126"/>
    <cellStyle name="Accent2 2" xfId="127"/>
    <cellStyle name="Accent3 2" xfId="128"/>
    <cellStyle name="Accent4 2" xfId="129"/>
    <cellStyle name="Accent5 2" xfId="130"/>
    <cellStyle name="Accent6 2" xfId="131"/>
    <cellStyle name="Advarselstekst" xfId="22" builtinId="11" customBuiltin="1"/>
    <cellStyle name="Bad 2" xfId="132"/>
    <cellStyle name="Bemærk! 2" xfId="50"/>
    <cellStyle name="Bemærk! 2 2" xfId="177"/>
    <cellStyle name="Bemærk! 2 2 2" xfId="284"/>
    <cellStyle name="Bemærk! 2 2 2 2" xfId="476"/>
    <cellStyle name="Bemærk! 2 2 3" xfId="475"/>
    <cellStyle name="Bemærk! 2 3" xfId="240"/>
    <cellStyle name="Bemærk! 2 3 2" xfId="477"/>
    <cellStyle name="Bemærk! 2 4" xfId="474"/>
    <cellStyle name="Bemærk! 3" xfId="73"/>
    <cellStyle name="Bemærk! 3 2" xfId="189"/>
    <cellStyle name="Bemærk! 3 2 2" xfId="296"/>
    <cellStyle name="Bemærk! 3 2 2 2" xfId="480"/>
    <cellStyle name="Bemærk! 3 2 3" xfId="479"/>
    <cellStyle name="Bemærk! 3 3" xfId="252"/>
    <cellStyle name="Bemærk! 3 3 2" xfId="481"/>
    <cellStyle name="Bemærk! 3 4" xfId="478"/>
    <cellStyle name="Bemærk! 4" xfId="214"/>
    <cellStyle name="Bemærk! 4 2" xfId="320"/>
    <cellStyle name="Bemærk! 4 2 2" xfId="483"/>
    <cellStyle name="Bemærk! 4 3" xfId="482"/>
    <cellStyle name="Bemærk! 5" xfId="336"/>
    <cellStyle name="Bemærk! 5 2" xfId="484"/>
    <cellStyle name="Beregning" xfId="19" builtinId="22" customBuiltin="1"/>
    <cellStyle name="C01_Main head" xfId="87"/>
    <cellStyle name="C02_Column heads" xfId="88"/>
    <cellStyle name="C03_Sub head bold" xfId="89"/>
    <cellStyle name="C03a_Sub head" xfId="90"/>
    <cellStyle name="C04_Total text white bold" xfId="91"/>
    <cellStyle name="C04a_Total text black with rule" xfId="92"/>
    <cellStyle name="C05_Main text" xfId="93"/>
    <cellStyle name="C06_Figs" xfId="94"/>
    <cellStyle name="C07_Figs 1 dec percent" xfId="95"/>
    <cellStyle name="C08_Figs 1 decimal" xfId="96"/>
    <cellStyle name="C09_Notes" xfId="97"/>
    <cellStyle name="Calculation 2" xfId="133"/>
    <cellStyle name="Check Cell 2" xfId="134"/>
    <cellStyle name="Comma 10" xfId="151"/>
    <cellStyle name="Comma 2" xfId="67"/>
    <cellStyle name="Comma 2 2" xfId="71"/>
    <cellStyle name="Comma 2 3" xfId="98"/>
    <cellStyle name="Comma 3" xfId="68"/>
    <cellStyle name="Comma 3 2" xfId="105"/>
    <cellStyle name="Comma 3 3" xfId="187"/>
    <cellStyle name="Comma 3 3 2" xfId="294"/>
    <cellStyle name="Comma 3 3 2 2" xfId="487"/>
    <cellStyle name="Comma 3 3 3" xfId="486"/>
    <cellStyle name="Comma 3 4" xfId="209"/>
    <cellStyle name="Comma 3 4 2" xfId="316"/>
    <cellStyle name="Comma 3 4 2 2" xfId="489"/>
    <cellStyle name="Comma 3 4 3" xfId="488"/>
    <cellStyle name="Comma 3 5" xfId="250"/>
    <cellStyle name="Comma 3 5 2" xfId="490"/>
    <cellStyle name="Comma 3 6" xfId="485"/>
    <cellStyle name="Comma 4" xfId="69"/>
    <cellStyle name="Comma 4 2" xfId="103"/>
    <cellStyle name="Comma 4 3" xfId="188"/>
    <cellStyle name="Comma 4 3 2" xfId="295"/>
    <cellStyle name="Comma 4 3 2 2" xfId="493"/>
    <cellStyle name="Comma 4 3 3" xfId="492"/>
    <cellStyle name="Comma 4 4" xfId="210"/>
    <cellStyle name="Comma 4 4 2" xfId="317"/>
    <cellStyle name="Comma 4 4 2 2" xfId="495"/>
    <cellStyle name="Comma 4 4 3" xfId="494"/>
    <cellStyle name="Comma 4 5" xfId="251"/>
    <cellStyle name="Comma 4 5 2" xfId="496"/>
    <cellStyle name="Comma 4 6" xfId="491"/>
    <cellStyle name="Comma 5" xfId="72"/>
    <cellStyle name="Comma 5 2" xfId="101"/>
    <cellStyle name="Comma 6" xfId="107"/>
    <cellStyle name="Comma 7" xfId="102"/>
    <cellStyle name="Comma 8" xfId="104"/>
    <cellStyle name="Comma 9" xfId="150"/>
    <cellStyle name="Comma 9 2" xfId="202"/>
    <cellStyle name="Comma 9 2 2" xfId="309"/>
    <cellStyle name="Comma 9 2 2 2" xfId="499"/>
    <cellStyle name="Comma 9 2 3" xfId="498"/>
    <cellStyle name="Comma 9 3" xfId="349"/>
    <cellStyle name="Comma 9 3 2" xfId="500"/>
    <cellStyle name="Comma 9 4" xfId="265"/>
    <cellStyle name="Comma 9 4 2" xfId="501"/>
    <cellStyle name="Comma 9 5" xfId="497"/>
    <cellStyle name="Explanatory Text 2" xfId="135"/>
    <cellStyle name="Forklarende tekst" xfId="23" builtinId="53" customBuiltin="1"/>
    <cellStyle name="God" xfId="1" builtinId="26" customBuiltin="1"/>
    <cellStyle name="Good 2" xfId="136"/>
    <cellStyle name="Heading 1 2" xfId="137"/>
    <cellStyle name="Heading 2 2" xfId="138"/>
    <cellStyle name="Heading 3 2" xfId="139"/>
    <cellStyle name="Heading 4 2" xfId="140"/>
    <cellStyle name="Hyperlink 2" xfId="99"/>
    <cellStyle name="Hyperlink 3" xfId="141"/>
    <cellStyle name="Input" xfId="17" builtinId="20" customBuiltin="1"/>
    <cellStyle name="Input 2" xfId="142"/>
    <cellStyle name="Komma" xfId="2" builtinId="3"/>
    <cellStyle name="Komma 2" xfId="7"/>
    <cellStyle name="Komma 2 2" xfId="158"/>
    <cellStyle name="Komma 2 2 2" xfId="205"/>
    <cellStyle name="Komma 2 2 2 2" xfId="312"/>
    <cellStyle name="Komma 2 2 2 2 2" xfId="504"/>
    <cellStyle name="Komma 2 2 2 3" xfId="503"/>
    <cellStyle name="Komma 2 2 3" xfId="268"/>
    <cellStyle name="Komma 2 2 3 2" xfId="505"/>
    <cellStyle name="Komma 2 2 4" xfId="502"/>
    <cellStyle name="Komma 2 3" xfId="352"/>
    <cellStyle name="Komma 2 3 2" xfId="506"/>
    <cellStyle name="Komma 3" xfId="52"/>
    <cellStyle name="Komma 4" xfId="60"/>
    <cellStyle name="Komma 4 2" xfId="182"/>
    <cellStyle name="Komma 4 2 2" xfId="289"/>
    <cellStyle name="Komma 4 2 2 2" xfId="509"/>
    <cellStyle name="Komma 4 2 3" xfId="508"/>
    <cellStyle name="Komma 4 3" xfId="245"/>
    <cellStyle name="Komma 4 3 2" xfId="510"/>
    <cellStyle name="Komma 4 4" xfId="507"/>
    <cellStyle name="Komma 5" xfId="63"/>
    <cellStyle name="Komma 5 2" xfId="185"/>
    <cellStyle name="Komma 5 2 2" xfId="292"/>
    <cellStyle name="Komma 5 2 2 2" xfId="513"/>
    <cellStyle name="Komma 5 2 3" xfId="512"/>
    <cellStyle name="Komma 5 3" xfId="248"/>
    <cellStyle name="Komma 5 3 2" xfId="514"/>
    <cellStyle name="Komma 5 4" xfId="511"/>
    <cellStyle name="Komma 6" xfId="175"/>
    <cellStyle name="Komma 7" xfId="161"/>
    <cellStyle name="Komma 7 2" xfId="270"/>
    <cellStyle name="Komma 7 2 2" xfId="516"/>
    <cellStyle name="Komma 7 3" xfId="515"/>
    <cellStyle name="Komma 8" xfId="207"/>
    <cellStyle name="Komma 8 2" xfId="314"/>
    <cellStyle name="Komma 8 2 2" xfId="518"/>
    <cellStyle name="Komma 8 3" xfId="517"/>
    <cellStyle name="Komma 9" xfId="334"/>
    <cellStyle name="Komma 9 2" xfId="519"/>
    <cellStyle name="Kontroller celle" xfId="21" builtinId="23" customBuiltin="1"/>
    <cellStyle name="Link" xfId="3" builtinId="8"/>
    <cellStyle name="Link 2" xfId="65"/>
    <cellStyle name="Linked Cell 2" xfId="143"/>
    <cellStyle name="Markeringsfarve1" xfId="25" builtinId="29" customBuiltin="1"/>
    <cellStyle name="Markeringsfarve2" xfId="29" builtinId="33" customBuiltin="1"/>
    <cellStyle name="Markeringsfarve3" xfId="33" builtinId="37" customBuiltin="1"/>
    <cellStyle name="Markeringsfarve4" xfId="37" builtinId="41" customBuiltin="1"/>
    <cellStyle name="Markeringsfarve5" xfId="41" builtinId="45" customBuiltin="1"/>
    <cellStyle name="Markeringsfarve6" xfId="45" builtinId="49" customBuiltin="1"/>
    <cellStyle name="Neutral" xfId="5" builtinId="28" customBuiltin="1"/>
    <cellStyle name="Neutral 2" xfId="144"/>
    <cellStyle name="Normal" xfId="0" builtinId="0" customBuiltin="1"/>
    <cellStyle name="Normal 10" xfId="206"/>
    <cellStyle name="Normal 10 2" xfId="313"/>
    <cellStyle name="Normal 10 2 2" xfId="521"/>
    <cellStyle name="Normal 10 3" xfId="520"/>
    <cellStyle name="Normal 11" xfId="211"/>
    <cellStyle name="Normal 11 2" xfId="318"/>
    <cellStyle name="Normal 11 2 2" xfId="523"/>
    <cellStyle name="Normal 11 3" xfId="522"/>
    <cellStyle name="Normal 12" xfId="213"/>
    <cellStyle name="Normal 12 2" xfId="319"/>
    <cellStyle name="Normal 12 2 2" xfId="525"/>
    <cellStyle name="Normal 12 3" xfId="524"/>
    <cellStyle name="Normal 13" xfId="333"/>
    <cellStyle name="Normal 13 2" xfId="526"/>
    <cellStyle name="Normal 2" xfId="6"/>
    <cellStyle name="Normal 2 2" xfId="70"/>
    <cellStyle name="Normal 2 2 2" xfId="155"/>
    <cellStyle name="Normal 2 2 2 2" xfId="203"/>
    <cellStyle name="Normal 2 2 2 2 2" xfId="310"/>
    <cellStyle name="Normal 2 2 2 2 2 2" xfId="529"/>
    <cellStyle name="Normal 2 2 2 2 3" xfId="528"/>
    <cellStyle name="Normal 2 2 2 3" xfId="266"/>
    <cellStyle name="Normal 2 2 2 3 2" xfId="530"/>
    <cellStyle name="Normal 2 2 2 4" xfId="527"/>
    <cellStyle name="Normal 2 2 3" xfId="350"/>
    <cellStyle name="Normal 2 2 3 2" xfId="531"/>
    <cellStyle name="Normal 2 3" xfId="53"/>
    <cellStyle name="Normal 2 4" xfId="66"/>
    <cellStyle name="Normal 2 5" xfId="212"/>
    <cellStyle name="Normal 3" xfId="8"/>
    <cellStyle name="Normal 3 2" xfId="57"/>
    <cellStyle name="Normal 3 2 2" xfId="179"/>
    <cellStyle name="Normal 3 2 2 2" xfId="286"/>
    <cellStyle name="Normal 3 2 2 2 2" xfId="534"/>
    <cellStyle name="Normal 3 2 2 3" xfId="533"/>
    <cellStyle name="Normal 3 2 3" xfId="242"/>
    <cellStyle name="Normal 3 2 3 2" xfId="535"/>
    <cellStyle name="Normal 3 2 4" xfId="532"/>
    <cellStyle name="Normal 4" xfId="49"/>
    <cellStyle name="Normal 4 2" xfId="106"/>
    <cellStyle name="Normal 4 3" xfId="176"/>
    <cellStyle name="Normal 4 3 2" xfId="283"/>
    <cellStyle name="Normal 4 3 2 2" xfId="538"/>
    <cellStyle name="Normal 4 3 3" xfId="537"/>
    <cellStyle name="Normal 4 4" xfId="239"/>
    <cellStyle name="Normal 4 4 2" xfId="539"/>
    <cellStyle name="Normal 4 5" xfId="536"/>
    <cellStyle name="Normal 5" xfId="51"/>
    <cellStyle name="Normal 5 2" xfId="157"/>
    <cellStyle name="Normal 5 3" xfId="178"/>
    <cellStyle name="Normal 5 3 2" xfId="285"/>
    <cellStyle name="Normal 5 3 2 2" xfId="542"/>
    <cellStyle name="Normal 5 3 3" xfId="541"/>
    <cellStyle name="Normal 5 4" xfId="241"/>
    <cellStyle name="Normal 5 4 2" xfId="543"/>
    <cellStyle name="Normal 5 5" xfId="540"/>
    <cellStyle name="Normal 6" xfId="59"/>
    <cellStyle name="Normal 6 2" xfId="159"/>
    <cellStyle name="Normal 6 3" xfId="181"/>
    <cellStyle name="Normal 6 3 2" xfId="288"/>
    <cellStyle name="Normal 6 3 2 2" xfId="546"/>
    <cellStyle name="Normal 6 3 3" xfId="545"/>
    <cellStyle name="Normal 6 4" xfId="244"/>
    <cellStyle name="Normal 6 4 2" xfId="547"/>
    <cellStyle name="Normal 6 5" xfId="544"/>
    <cellStyle name="Normal 7" xfId="62"/>
    <cellStyle name="Normal 7 2" xfId="184"/>
    <cellStyle name="Normal 7 2 2" xfId="291"/>
    <cellStyle name="Normal 7 2 2 2" xfId="550"/>
    <cellStyle name="Normal 7 2 3" xfId="549"/>
    <cellStyle name="Normal 7 3" xfId="247"/>
    <cellStyle name="Normal 7 3 2" xfId="551"/>
    <cellStyle name="Normal 7 4" xfId="548"/>
    <cellStyle name="Normal 8" xfId="174"/>
    <cellStyle name="Normal 9" xfId="160"/>
    <cellStyle name="Normal 9 2" xfId="269"/>
    <cellStyle name="Normal 9 2 2" xfId="553"/>
    <cellStyle name="Normal 9 3" xfId="552"/>
    <cellStyle name="Normal_øknomiske nøgletal, analyseforudsætninger 2010" xfId="4"/>
    <cellStyle name="Note 2" xfId="145"/>
    <cellStyle name="Output" xfId="18" builtinId="21" customBuiltin="1"/>
    <cellStyle name="Output 2" xfId="146"/>
    <cellStyle name="Overskrift 1" xfId="12" builtinId="16" customBuiltin="1"/>
    <cellStyle name="Overskrift 2" xfId="13" builtinId="17" customBuiltin="1"/>
    <cellStyle name="Overskrift 3" xfId="14" builtinId="18" customBuiltin="1"/>
    <cellStyle name="Overskrift 4" xfId="15" builtinId="19" customBuiltin="1"/>
    <cellStyle name="Percent 2" xfId="100"/>
    <cellStyle name="Percent 3" xfId="152"/>
    <cellStyle name="Procent" xfId="353" builtinId="5"/>
    <cellStyle name="Procent 2" xfId="10"/>
    <cellStyle name="Procent 2 2" xfId="58"/>
    <cellStyle name="Procent 2 2 2" xfId="180"/>
    <cellStyle name="Procent 2 2 2 2" xfId="287"/>
    <cellStyle name="Procent 2 2 2 2 2" xfId="556"/>
    <cellStyle name="Procent 2 2 2 3" xfId="555"/>
    <cellStyle name="Procent 2 2 3" xfId="243"/>
    <cellStyle name="Procent 2 2 3 2" xfId="557"/>
    <cellStyle name="Procent 2 2 4" xfId="554"/>
    <cellStyle name="Procent 2 3" xfId="156"/>
    <cellStyle name="Procent 2 3 2" xfId="204"/>
    <cellStyle name="Procent 2 3 2 2" xfId="311"/>
    <cellStyle name="Procent 2 3 2 2 2" xfId="560"/>
    <cellStyle name="Procent 2 3 2 3" xfId="559"/>
    <cellStyle name="Procent 2 3 3" xfId="267"/>
    <cellStyle name="Procent 2 3 3 2" xfId="561"/>
    <cellStyle name="Procent 2 3 4" xfId="558"/>
    <cellStyle name="Procent 2 4" xfId="351"/>
    <cellStyle name="Procent 2 4 2" xfId="562"/>
    <cellStyle name="Procent 3" xfId="9"/>
    <cellStyle name="Procent 4" xfId="61"/>
    <cellStyle name="Procent 4 2" xfId="183"/>
    <cellStyle name="Procent 4 2 2" xfId="290"/>
    <cellStyle name="Procent 4 2 2 2" xfId="565"/>
    <cellStyle name="Procent 4 2 3" xfId="564"/>
    <cellStyle name="Procent 4 3" xfId="246"/>
    <cellStyle name="Procent 4 3 2" xfId="566"/>
    <cellStyle name="Procent 4 4" xfId="563"/>
    <cellStyle name="Procent 5" xfId="64"/>
    <cellStyle name="Procent 5 2" xfId="186"/>
    <cellStyle name="Procent 5 2 2" xfId="293"/>
    <cellStyle name="Procent 5 2 2 2" xfId="569"/>
    <cellStyle name="Procent 5 2 3" xfId="568"/>
    <cellStyle name="Procent 5 3" xfId="249"/>
    <cellStyle name="Procent 5 3 2" xfId="570"/>
    <cellStyle name="Procent 5 4" xfId="567"/>
    <cellStyle name="Procent 6" xfId="208"/>
    <cellStyle name="Procent 6 2" xfId="315"/>
    <cellStyle name="Procent 6 2 2" xfId="572"/>
    <cellStyle name="Procent 6 3" xfId="571"/>
    <cellStyle name="Procent 7" xfId="335"/>
    <cellStyle name="Procent 7 2" xfId="573"/>
    <cellStyle name="Sammenkædet celle" xfId="20" builtinId="24" customBuiltin="1"/>
    <cellStyle name="SAPBEXinputData" xfId="574"/>
    <cellStyle name="Style 134 2" xfId="54"/>
    <cellStyle name="Style 140" xfId="55"/>
    <cellStyle name="Style 142 2" xfId="56"/>
    <cellStyle name="Titel" xfId="11" builtinId="15" customBuiltin="1"/>
    <cellStyle name="Titel 2" xfId="86"/>
    <cellStyle name="Title 2" xfId="147"/>
    <cellStyle name="Total" xfId="24" builtinId="25" customBuiltin="1"/>
    <cellStyle name="Total 2" xfId="148"/>
    <cellStyle name="Ugyldig" xfId="16" builtinId="27" customBuiltin="1"/>
    <cellStyle name="Warning Text 2" xfId="149"/>
    <cellStyle name="X08_Total Oil" xfId="153"/>
    <cellStyle name="X12_Total Figs 1 dec" xfId="154"/>
  </cellStyles>
  <dxfs count="6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CC0066"/>
      <color rgb="FFFF3399"/>
      <color rgb="FFC6EFCE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Fremskrivning af priser på fossile</a:t>
            </a:r>
            <a:r>
              <a:rPr lang="da-DK" baseline="0"/>
              <a:t> brændsler</a:t>
            </a:r>
            <a:endParaRPr lang="da-DK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Brændselspriser!$C$6</c:f>
              <c:strCache>
                <c:ptCount val="1"/>
                <c:pt idx="0">
                  <c:v>Kul</c:v>
                </c:pt>
              </c:strCache>
            </c:strRef>
          </c:tx>
          <c:marker>
            <c:symbol val="none"/>
          </c:marker>
          <c:cat>
            <c:numRef>
              <c:f>Brændselspriser!$B$7:$B$31</c:f>
              <c:numCache>
                <c:formatCode>General</c:formatCode>
                <c:ptCount val="2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</c:numCache>
            </c:numRef>
          </c:cat>
          <c:val>
            <c:numRef>
              <c:f>Brændselspriser!$C$7:$C$31</c:f>
              <c:numCache>
                <c:formatCode>0.0</c:formatCode>
                <c:ptCount val="25"/>
                <c:pt idx="0">
                  <c:v>11.664394366397021</c:v>
                </c:pt>
                <c:pt idx="1">
                  <c:v>10.608654677021059</c:v>
                </c:pt>
                <c:pt idx="2">
                  <c:v>10.047087370190141</c:v>
                </c:pt>
                <c:pt idx="3">
                  <c:v>10.533790577808068</c:v>
                </c:pt>
                <c:pt idx="4">
                  <c:v>11.463472658960935</c:v>
                </c:pt>
                <c:pt idx="5">
                  <c:v>12.551185167140687</c:v>
                </c:pt>
                <c:pt idx="6">
                  <c:v>13.674691416292184</c:v>
                </c:pt>
                <c:pt idx="7">
                  <c:v>14.829167882055396</c:v>
                </c:pt>
                <c:pt idx="8">
                  <c:v>16.013484132314233</c:v>
                </c:pt>
                <c:pt idx="9">
                  <c:v>17.22302694306099</c:v>
                </c:pt>
                <c:pt idx="10">
                  <c:v>18.453810075255319</c:v>
                </c:pt>
                <c:pt idx="11">
                  <c:v>19.702792108651337</c:v>
                </c:pt>
                <c:pt idx="12">
                  <c:v>20.963966838447924</c:v>
                </c:pt>
                <c:pt idx="13">
                  <c:v>22.237953091588285</c:v>
                </c:pt>
                <c:pt idx="14">
                  <c:v>23.53310795236797</c:v>
                </c:pt>
                <c:pt idx="15">
                  <c:v>23.736129179892586</c:v>
                </c:pt>
                <c:pt idx="16">
                  <c:v>23.920009116895024</c:v>
                </c:pt>
                <c:pt idx="17">
                  <c:v>24.087619361151166</c:v>
                </c:pt>
                <c:pt idx="18">
                  <c:v>24.241469583717969</c:v>
                </c:pt>
                <c:pt idx="19">
                  <c:v>24.383007161792033</c:v>
                </c:pt>
                <c:pt idx="20">
                  <c:v>24.511171799310709</c:v>
                </c:pt>
                <c:pt idx="21">
                  <c:v>24.628020479052555</c:v>
                </c:pt>
                <c:pt idx="22">
                  <c:v>24.73248656286459</c:v>
                </c:pt>
                <c:pt idx="23">
                  <c:v>24.826010036115925</c:v>
                </c:pt>
                <c:pt idx="24">
                  <c:v>24.909314839334744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Brændselspriser!$D$6</c:f>
              <c:strCache>
                <c:ptCount val="1"/>
                <c:pt idx="0">
                  <c:v>Olie</c:v>
                </c:pt>
              </c:strCache>
            </c:strRef>
          </c:tx>
          <c:marker>
            <c:symbol val="none"/>
          </c:marker>
          <c:cat>
            <c:numRef>
              <c:f>Brændselspriser!$B$7:$B$31</c:f>
              <c:numCache>
                <c:formatCode>General</c:formatCode>
                <c:ptCount val="2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</c:numCache>
            </c:numRef>
          </c:cat>
          <c:val>
            <c:numRef>
              <c:f>Brændselspriser!$D$7:$D$31</c:f>
              <c:numCache>
                <c:formatCode>0.0</c:formatCode>
                <c:ptCount val="25"/>
                <c:pt idx="0">
                  <c:v>48.661230258045293</c:v>
                </c:pt>
                <c:pt idx="1">
                  <c:v>51.940034123371127</c:v>
                </c:pt>
                <c:pt idx="2">
                  <c:v>53.19922603124278</c:v>
                </c:pt>
                <c:pt idx="3">
                  <c:v>55.875691187109844</c:v>
                </c:pt>
                <c:pt idx="4">
                  <c:v>58.53180699892291</c:v>
                </c:pt>
                <c:pt idx="5">
                  <c:v>61.988869449858996</c:v>
                </c:pt>
                <c:pt idx="6">
                  <c:v>66.049736709398431</c:v>
                </c:pt>
                <c:pt idx="7">
                  <c:v>70.668288102436691</c:v>
                </c:pt>
                <c:pt idx="8">
                  <c:v>75.814522059805782</c:v>
                </c:pt>
                <c:pt idx="9">
                  <c:v>81.445748656984847</c:v>
                </c:pt>
                <c:pt idx="10">
                  <c:v>87.522511253512263</c:v>
                </c:pt>
                <c:pt idx="11">
                  <c:v>94.010266818811587</c:v>
                </c:pt>
                <c:pt idx="12">
                  <c:v>100.86181073972016</c:v>
                </c:pt>
                <c:pt idx="13">
                  <c:v>108.06069354204512</c:v>
                </c:pt>
                <c:pt idx="14">
                  <c:v>115.62940598851907</c:v>
                </c:pt>
                <c:pt idx="15">
                  <c:v>117.57823295973367</c:v>
                </c:pt>
                <c:pt idx="16">
                  <c:v>119.39766774723032</c:v>
                </c:pt>
                <c:pt idx="17">
                  <c:v>121.10248608776196</c:v>
                </c:pt>
                <c:pt idx="18">
                  <c:v>122.7060123917297</c:v>
                </c:pt>
                <c:pt idx="19">
                  <c:v>124.21654935611227</c:v>
                </c:pt>
                <c:pt idx="20">
                  <c:v>125.62997485344735</c:v>
                </c:pt>
                <c:pt idx="21">
                  <c:v>126.95755933705226</c:v>
                </c:pt>
                <c:pt idx="22">
                  <c:v>128.19496828162465</c:v>
                </c:pt>
                <c:pt idx="23">
                  <c:v>129.35036619647263</c:v>
                </c:pt>
                <c:pt idx="24">
                  <c:v>130.42834306069577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Brændselspriser!$E$6</c:f>
              <c:strCache>
                <c:ptCount val="1"/>
                <c:pt idx="0">
                  <c:v>Fuelolie</c:v>
                </c:pt>
              </c:strCache>
            </c:strRef>
          </c:tx>
          <c:spPr>
            <a:ln>
              <a:solidFill>
                <a:schemeClr val="accent2"/>
              </a:solidFill>
              <a:prstDash val="dash"/>
            </a:ln>
          </c:spPr>
          <c:marker>
            <c:symbol val="none"/>
          </c:marker>
          <c:cat>
            <c:numRef>
              <c:f>Brændselspriser!$B$7:$B$31</c:f>
              <c:numCache>
                <c:formatCode>General</c:formatCode>
                <c:ptCount val="2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</c:numCache>
            </c:numRef>
          </c:cat>
          <c:val>
            <c:numRef>
              <c:f>Brændselspriser!$E$7:$E$31</c:f>
              <c:numCache>
                <c:formatCode>0.0</c:formatCode>
                <c:ptCount val="25"/>
                <c:pt idx="0">
                  <c:v>34.329269973087676</c:v>
                </c:pt>
                <c:pt idx="1">
                  <c:v>37.793326256804434</c:v>
                </c:pt>
                <c:pt idx="2">
                  <c:v>39.123662507470826</c:v>
                </c:pt>
                <c:pt idx="3">
                  <c:v>41.95134794464439</c:v>
                </c:pt>
                <c:pt idx="4">
                  <c:v>44.757534299824883</c:v>
                </c:pt>
                <c:pt idx="5">
                  <c:v>48.409920779238853</c:v>
                </c:pt>
                <c:pt idx="6">
                  <c:v>52.700227038942266</c:v>
                </c:pt>
                <c:pt idx="7">
                  <c:v>57.579726585687204</c:v>
                </c:pt>
                <c:pt idx="8">
                  <c:v>63.016722761647635</c:v>
                </c:pt>
                <c:pt idx="9">
                  <c:v>68.96611366156732</c:v>
                </c:pt>
                <c:pt idx="10">
                  <c:v>75.386213344798549</c:v>
                </c:pt>
                <c:pt idx="11">
                  <c:v>82.24052709953726</c:v>
                </c:pt>
                <c:pt idx="12">
                  <c:v>89.479183251977176</c:v>
                </c:pt>
                <c:pt idx="13">
                  <c:v>97.084802932633465</c:v>
                </c:pt>
                <c:pt idx="14">
                  <c:v>105.08114763233321</c:v>
                </c:pt>
                <c:pt idx="15">
                  <c:v>107.14008332742145</c:v>
                </c:pt>
                <c:pt idx="16">
                  <c:v>109.06231618041166</c:v>
                </c:pt>
                <c:pt idx="17">
                  <c:v>110.86345675718334</c:v>
                </c:pt>
                <c:pt idx="18">
                  <c:v>112.55758229732527</c:v>
                </c:pt>
                <c:pt idx="19">
                  <c:v>114.15346460019546</c:v>
                </c:pt>
                <c:pt idx="20">
                  <c:v>115.64674863812995</c:v>
                </c:pt>
                <c:pt idx="21">
                  <c:v>117.04934164505853</c:v>
                </c:pt>
                <c:pt idx="22">
                  <c:v>118.35666419499927</c:v>
                </c:pt>
                <c:pt idx="23">
                  <c:v>119.57734209203618</c:v>
                </c:pt>
                <c:pt idx="24">
                  <c:v>120.71622464908791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Brændselspriser!$F$6</c:f>
              <c:strCache>
                <c:ptCount val="1"/>
                <c:pt idx="0">
                  <c:v>Gasolie</c:v>
                </c:pt>
              </c:strCache>
            </c:strRef>
          </c:tx>
          <c:spPr>
            <a:ln>
              <a:solidFill>
                <a:schemeClr val="accent2"/>
              </a:solidFill>
              <a:prstDash val="sysDot"/>
            </a:ln>
          </c:spPr>
          <c:marker>
            <c:symbol val="none"/>
          </c:marker>
          <c:cat>
            <c:numRef>
              <c:f>Brændselspriser!$B$7:$B$31</c:f>
              <c:numCache>
                <c:formatCode>General</c:formatCode>
                <c:ptCount val="2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</c:numCache>
            </c:numRef>
          </c:cat>
          <c:val>
            <c:numRef>
              <c:f>Brændselspriser!$F$7:$F$31</c:f>
              <c:numCache>
                <c:formatCode>0.0</c:formatCode>
                <c:ptCount val="25"/>
                <c:pt idx="0">
                  <c:v>64.591562921710619</c:v>
                </c:pt>
                <c:pt idx="1">
                  <c:v>68.055619205427362</c:v>
                </c:pt>
                <c:pt idx="2">
                  <c:v>69.385955456093754</c:v>
                </c:pt>
                <c:pt idx="3">
                  <c:v>72.213640893267325</c:v>
                </c:pt>
                <c:pt idx="4">
                  <c:v>75.019827248447825</c:v>
                </c:pt>
                <c:pt idx="5">
                  <c:v>78.672213727861788</c:v>
                </c:pt>
                <c:pt idx="6">
                  <c:v>82.962519987565202</c:v>
                </c:pt>
                <c:pt idx="7">
                  <c:v>87.842019534310126</c:v>
                </c:pt>
                <c:pt idx="8">
                  <c:v>93.279015710270585</c:v>
                </c:pt>
                <c:pt idx="9">
                  <c:v>99.228406610190248</c:v>
                </c:pt>
                <c:pt idx="10">
                  <c:v>105.64850629342146</c:v>
                </c:pt>
                <c:pt idx="11">
                  <c:v>112.5028200481602</c:v>
                </c:pt>
                <c:pt idx="12">
                  <c:v>119.7414762006001</c:v>
                </c:pt>
                <c:pt idx="13">
                  <c:v>127.34709588125641</c:v>
                </c:pt>
                <c:pt idx="14">
                  <c:v>135.34344058095616</c:v>
                </c:pt>
                <c:pt idx="15">
                  <c:v>137.40237627604438</c:v>
                </c:pt>
                <c:pt idx="16">
                  <c:v>139.3246091290346</c:v>
                </c:pt>
                <c:pt idx="17">
                  <c:v>141.12574970580627</c:v>
                </c:pt>
                <c:pt idx="18">
                  <c:v>142.8198752459482</c:v>
                </c:pt>
                <c:pt idx="19">
                  <c:v>144.41575754881839</c:v>
                </c:pt>
                <c:pt idx="20">
                  <c:v>145.90904158675289</c:v>
                </c:pt>
                <c:pt idx="21">
                  <c:v>147.31163459368148</c:v>
                </c:pt>
                <c:pt idx="22">
                  <c:v>148.6189571436222</c:v>
                </c:pt>
                <c:pt idx="23">
                  <c:v>149.83963504065909</c:v>
                </c:pt>
                <c:pt idx="24">
                  <c:v>150.97851759771083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Brændselspriser!$G$6</c:f>
              <c:strCache>
                <c:ptCount val="1"/>
                <c:pt idx="0">
                  <c:v>Gas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Brændselspriser!$B$7:$B$31</c:f>
              <c:numCache>
                <c:formatCode>General</c:formatCode>
                <c:ptCount val="2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</c:numCache>
            </c:numRef>
          </c:cat>
          <c:val>
            <c:numRef>
              <c:f>Brændselspriser!$G$7:$G$31</c:f>
              <c:numCache>
                <c:formatCode>0.0</c:formatCode>
                <c:ptCount val="25"/>
                <c:pt idx="0">
                  <c:v>24.215939939487853</c:v>
                </c:pt>
                <c:pt idx="1">
                  <c:v>26.638061354185172</c:v>
                </c:pt>
                <c:pt idx="2">
                  <c:v>26.902050586086908</c:v>
                </c:pt>
                <c:pt idx="3">
                  <c:v>27.972155380231502</c:v>
                </c:pt>
                <c:pt idx="4">
                  <c:v>28.458060840561039</c:v>
                </c:pt>
                <c:pt idx="5">
                  <c:v>30.1626741278473</c:v>
                </c:pt>
                <c:pt idx="6">
                  <c:v>32.247580545274907</c:v>
                </c:pt>
                <c:pt idx="7">
                  <c:v>34.684058050603042</c:v>
                </c:pt>
                <c:pt idx="8">
                  <c:v>37.45310969127798</c:v>
                </c:pt>
                <c:pt idx="9">
                  <c:v>40.528173127087726</c:v>
                </c:pt>
                <c:pt idx="10">
                  <c:v>43.884654502830536</c:v>
                </c:pt>
                <c:pt idx="11">
                  <c:v>47.500952712310344</c:v>
                </c:pt>
                <c:pt idx="12">
                  <c:v>51.347837540448019</c:v>
                </c:pt>
                <c:pt idx="13">
                  <c:v>55.414699924134077</c:v>
                </c:pt>
                <c:pt idx="14">
                  <c:v>59.71460915923668</c:v>
                </c:pt>
                <c:pt idx="15">
                  <c:v>60.690165637279684</c:v>
                </c:pt>
                <c:pt idx="16">
                  <c:v>61.5952847253172</c:v>
                </c:pt>
                <c:pt idx="17">
                  <c:v>62.438696145918414</c:v>
                </c:pt>
                <c:pt idx="18">
                  <c:v>63.228192236598773</c:v>
                </c:pt>
                <c:pt idx="19">
                  <c:v>63.968512029882469</c:v>
                </c:pt>
                <c:pt idx="20">
                  <c:v>64.656960763950153</c:v>
                </c:pt>
                <c:pt idx="21">
                  <c:v>65.300063722366318</c:v>
                </c:pt>
                <c:pt idx="22">
                  <c:v>65.895035614810752</c:v>
                </c:pt>
                <c:pt idx="23">
                  <c:v>66.446553307522208</c:v>
                </c:pt>
                <c:pt idx="24">
                  <c:v>66.957160416771828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Brændselspriser!$H$6</c:f>
              <c:strCache>
                <c:ptCount val="1"/>
                <c:pt idx="0">
                  <c:v>Gas, dec.</c:v>
                </c:pt>
              </c:strCache>
            </c:strRef>
          </c:tx>
          <c:spPr>
            <a:ln>
              <a:solidFill>
                <a:schemeClr val="accent3"/>
              </a:solidFill>
              <a:prstDash val="dash"/>
            </a:ln>
          </c:spPr>
          <c:marker>
            <c:symbol val="none"/>
          </c:marker>
          <c:cat>
            <c:numRef>
              <c:f>Brændselspriser!$B$7:$B$31</c:f>
              <c:numCache>
                <c:formatCode>General</c:formatCode>
                <c:ptCount val="2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</c:numCache>
            </c:numRef>
          </c:cat>
          <c:val>
            <c:numRef>
              <c:f>Brændselspriser!$H$7:$H$31</c:f>
              <c:numCache>
                <c:formatCode>0.0</c:formatCode>
                <c:ptCount val="25"/>
                <c:pt idx="0">
                  <c:v>29.740963162059639</c:v>
                </c:pt>
                <c:pt idx="1">
                  <c:v>32.163084576756958</c:v>
                </c:pt>
                <c:pt idx="2">
                  <c:v>32.42707380865869</c:v>
                </c:pt>
                <c:pt idx="3">
                  <c:v>33.497178602803281</c:v>
                </c:pt>
                <c:pt idx="4">
                  <c:v>33.983084063132829</c:v>
                </c:pt>
                <c:pt idx="5">
                  <c:v>35.687697350419086</c:v>
                </c:pt>
                <c:pt idx="6">
                  <c:v>37.772603767846697</c:v>
                </c:pt>
                <c:pt idx="7">
                  <c:v>40.209081273174824</c:v>
                </c:pt>
                <c:pt idx="8">
                  <c:v>42.97813291384977</c:v>
                </c:pt>
                <c:pt idx="9">
                  <c:v>46.053196349659508</c:v>
                </c:pt>
                <c:pt idx="10">
                  <c:v>49.409677725402311</c:v>
                </c:pt>
                <c:pt idx="11">
                  <c:v>53.025975934882133</c:v>
                </c:pt>
                <c:pt idx="12">
                  <c:v>56.872860763019808</c:v>
                </c:pt>
                <c:pt idx="13">
                  <c:v>60.939723146705866</c:v>
                </c:pt>
                <c:pt idx="14">
                  <c:v>65.239632381808462</c:v>
                </c:pt>
                <c:pt idx="15">
                  <c:v>66.21518885985148</c:v>
                </c:pt>
                <c:pt idx="16">
                  <c:v>67.120307947888975</c:v>
                </c:pt>
                <c:pt idx="17">
                  <c:v>67.963719368490189</c:v>
                </c:pt>
                <c:pt idx="18">
                  <c:v>68.753215459170562</c:v>
                </c:pt>
                <c:pt idx="19">
                  <c:v>69.493535252454251</c:v>
                </c:pt>
                <c:pt idx="20">
                  <c:v>70.181983986521942</c:v>
                </c:pt>
                <c:pt idx="21">
                  <c:v>70.825086944938107</c:v>
                </c:pt>
                <c:pt idx="22">
                  <c:v>71.420058837382527</c:v>
                </c:pt>
                <c:pt idx="23">
                  <c:v>71.971576530093984</c:v>
                </c:pt>
                <c:pt idx="24">
                  <c:v>72.482183639343617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459392"/>
        <c:axId val="114460928"/>
      </c:lineChart>
      <c:catAx>
        <c:axId val="114459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4460928"/>
        <c:crosses val="autoZero"/>
        <c:auto val="1"/>
        <c:lblAlgn val="ctr"/>
        <c:lblOffset val="100"/>
        <c:noMultiLvlLbl val="0"/>
      </c:catAx>
      <c:valAx>
        <c:axId val="1144609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a-DK"/>
                  <a:t>DKK2016/GJ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1445939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da-DK" sz="1400"/>
              <a:t>Femern og elektrificering af fjernbanen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Elforbrug</c:v>
          </c:tx>
          <c:marker>
            <c:symbol val="none"/>
          </c:marker>
          <c:cat>
            <c:numRef>
              <c:f>Elforbrug!$AS$8:$AS$32</c:f>
              <c:numCache>
                <c:formatCode>General</c:formatCode>
                <c:ptCount val="2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</c:numCache>
            </c:numRef>
          </c:cat>
          <c:val>
            <c:numRef>
              <c:f>Elforbrug!$BD$8:$BD$32</c:f>
              <c:numCache>
                <c:formatCode>#,##0</c:formatCode>
                <c:ptCount val="25"/>
                <c:pt idx="0">
                  <c:v>194.12038799999999</c:v>
                </c:pt>
                <c:pt idx="1">
                  <c:v>202.24077599999998</c:v>
                </c:pt>
                <c:pt idx="2">
                  <c:v>230.48501200000001</c:v>
                </c:pt>
                <c:pt idx="3">
                  <c:v>277.70503999999994</c:v>
                </c:pt>
                <c:pt idx="4">
                  <c:v>434.96945599999998</c:v>
                </c:pt>
                <c:pt idx="5">
                  <c:v>595.75074799999993</c:v>
                </c:pt>
                <c:pt idx="6">
                  <c:v>795.04419199999984</c:v>
                </c:pt>
                <c:pt idx="7">
                  <c:v>989.32974799999988</c:v>
                </c:pt>
                <c:pt idx="8">
                  <c:v>1203.4542959999999</c:v>
                </c:pt>
                <c:pt idx="9">
                  <c:v>1311.0370559999999</c:v>
                </c:pt>
                <c:pt idx="10">
                  <c:v>1410.3457119999998</c:v>
                </c:pt>
                <c:pt idx="11">
                  <c:v>1471.1422160000002</c:v>
                </c:pt>
                <c:pt idx="12">
                  <c:v>1516.82276</c:v>
                </c:pt>
                <c:pt idx="13">
                  <c:v>1523.6885200000002</c:v>
                </c:pt>
                <c:pt idx="14">
                  <c:v>1527.05168</c:v>
                </c:pt>
                <c:pt idx="15">
                  <c:v>1527.05168</c:v>
                </c:pt>
                <c:pt idx="16">
                  <c:v>1527.05168</c:v>
                </c:pt>
                <c:pt idx="17">
                  <c:v>1527.05168</c:v>
                </c:pt>
                <c:pt idx="18">
                  <c:v>1527.05168</c:v>
                </c:pt>
                <c:pt idx="19">
                  <c:v>1527.05168</c:v>
                </c:pt>
                <c:pt idx="20">
                  <c:v>1527.05168</c:v>
                </c:pt>
                <c:pt idx="21">
                  <c:v>1527.05168</c:v>
                </c:pt>
                <c:pt idx="22">
                  <c:v>1527.05168</c:v>
                </c:pt>
                <c:pt idx="23">
                  <c:v>1527.05168</c:v>
                </c:pt>
                <c:pt idx="24">
                  <c:v>1527.05168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147904"/>
        <c:axId val="119145984"/>
      </c:lineChart>
      <c:valAx>
        <c:axId val="1191459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a-DK"/>
                  <a:t>GWh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19147904"/>
        <c:crosses val="autoZero"/>
        <c:crossBetween val="between"/>
      </c:valAx>
      <c:catAx>
        <c:axId val="119147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914598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Store varmepumper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Central elkapacitet</c:v>
          </c:tx>
          <c:marker>
            <c:symbol val="none"/>
          </c:marker>
          <c:cat>
            <c:numRef>
              <c:f>'Store varmepumper'!$B$10:$B$34</c:f>
              <c:numCache>
                <c:formatCode>General</c:formatCode>
                <c:ptCount val="2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</c:numCache>
            </c:numRef>
          </c:cat>
          <c:val>
            <c:numRef>
              <c:f>'Store varmepumper'!$U$10:$U$34</c:f>
              <c:numCache>
                <c:formatCode>#,##0</c:formatCode>
                <c:ptCount val="2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18</c:v>
                </c:pt>
                <c:pt idx="6">
                  <c:v>26</c:v>
                </c:pt>
                <c:pt idx="7">
                  <c:v>34</c:v>
                </c:pt>
                <c:pt idx="8">
                  <c:v>42</c:v>
                </c:pt>
                <c:pt idx="9">
                  <c:v>50</c:v>
                </c:pt>
                <c:pt idx="10">
                  <c:v>60</c:v>
                </c:pt>
                <c:pt idx="11">
                  <c:v>70</c:v>
                </c:pt>
                <c:pt idx="12">
                  <c:v>80</c:v>
                </c:pt>
                <c:pt idx="13">
                  <c:v>90</c:v>
                </c:pt>
                <c:pt idx="14">
                  <c:v>100</c:v>
                </c:pt>
                <c:pt idx="15">
                  <c:v>110</c:v>
                </c:pt>
                <c:pt idx="16">
                  <c:v>120</c:v>
                </c:pt>
                <c:pt idx="17">
                  <c:v>130</c:v>
                </c:pt>
                <c:pt idx="18">
                  <c:v>140</c:v>
                </c:pt>
                <c:pt idx="19">
                  <c:v>150</c:v>
                </c:pt>
                <c:pt idx="20">
                  <c:v>170</c:v>
                </c:pt>
                <c:pt idx="21">
                  <c:v>190</c:v>
                </c:pt>
                <c:pt idx="22">
                  <c:v>210</c:v>
                </c:pt>
                <c:pt idx="23">
                  <c:v>230</c:v>
                </c:pt>
                <c:pt idx="24">
                  <c:v>250</c:v>
                </c:pt>
              </c:numCache>
            </c:numRef>
          </c:val>
          <c:smooth val="0"/>
        </c:ser>
        <c:ser>
          <c:idx val="1"/>
          <c:order val="1"/>
          <c:tx>
            <c:v>Decentral elkapacitet</c:v>
          </c:tx>
          <c:marker>
            <c:symbol val="none"/>
          </c:marker>
          <c:cat>
            <c:numRef>
              <c:f>'Store varmepumper'!$B$10:$B$34</c:f>
              <c:numCache>
                <c:formatCode>General</c:formatCode>
                <c:ptCount val="2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</c:numCache>
            </c:numRef>
          </c:cat>
          <c:val>
            <c:numRef>
              <c:f>'Store varmepumper'!$X$10:$X$34</c:f>
              <c:numCache>
                <c:formatCode>#,##0</c:formatCode>
                <c:ptCount val="25"/>
                <c:pt idx="0">
                  <c:v>4.971151003447595</c:v>
                </c:pt>
                <c:pt idx="1">
                  <c:v>10.00946069349048</c:v>
                </c:pt>
                <c:pt idx="2">
                  <c:v>14.879844635869336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75</c:v>
                </c:pt>
                <c:pt idx="11">
                  <c:v>100</c:v>
                </c:pt>
                <c:pt idx="12">
                  <c:v>125</c:v>
                </c:pt>
                <c:pt idx="13">
                  <c:v>150</c:v>
                </c:pt>
                <c:pt idx="14">
                  <c:v>175</c:v>
                </c:pt>
                <c:pt idx="15">
                  <c:v>200</c:v>
                </c:pt>
                <c:pt idx="16">
                  <c:v>225</c:v>
                </c:pt>
                <c:pt idx="17">
                  <c:v>250</c:v>
                </c:pt>
                <c:pt idx="18">
                  <c:v>275</c:v>
                </c:pt>
                <c:pt idx="19">
                  <c:v>300</c:v>
                </c:pt>
                <c:pt idx="20">
                  <c:v>320</c:v>
                </c:pt>
                <c:pt idx="21">
                  <c:v>340</c:v>
                </c:pt>
                <c:pt idx="22">
                  <c:v>360</c:v>
                </c:pt>
                <c:pt idx="23">
                  <c:v>380</c:v>
                </c:pt>
                <c:pt idx="24">
                  <c:v>399.99999999999994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579008"/>
        <c:axId val="119580544"/>
      </c:lineChart>
      <c:lineChart>
        <c:grouping val="standard"/>
        <c:varyColors val="0"/>
        <c:ser>
          <c:idx val="2"/>
          <c:order val="2"/>
          <c:tx>
            <c:v>Central elforbrug</c:v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'Store varmepumper'!$V$10:$V$34</c:f>
              <c:numCache>
                <c:formatCode>#,##0</c:formatCode>
                <c:ptCount val="25"/>
                <c:pt idx="0">
                  <c:v>5.214798910186178</c:v>
                </c:pt>
                <c:pt idx="1">
                  <c:v>14.408407399986011</c:v>
                </c:pt>
                <c:pt idx="2">
                  <c:v>22.146851893847831</c:v>
                </c:pt>
                <c:pt idx="3">
                  <c:v>31.478871280049418</c:v>
                </c:pt>
                <c:pt idx="4">
                  <c:v>38.72133726039209</c:v>
                </c:pt>
                <c:pt idx="5">
                  <c:v>63.763280138887509</c:v>
                </c:pt>
                <c:pt idx="6">
                  <c:v>84.329416013176342</c:v>
                </c:pt>
                <c:pt idx="7">
                  <c:v>109.43369791124985</c:v>
                </c:pt>
                <c:pt idx="8">
                  <c:v>132.29300599588237</c:v>
                </c:pt>
                <c:pt idx="9">
                  <c:v>165.40060721209466</c:v>
                </c:pt>
                <c:pt idx="10">
                  <c:v>200.25002779595133</c:v>
                </c:pt>
                <c:pt idx="11">
                  <c:v>223.40470889332948</c:v>
                </c:pt>
                <c:pt idx="12">
                  <c:v>249.86322946861034</c:v>
                </c:pt>
                <c:pt idx="13">
                  <c:v>270.08450589752624</c:v>
                </c:pt>
                <c:pt idx="14">
                  <c:v>276.34653551164058</c:v>
                </c:pt>
                <c:pt idx="15">
                  <c:v>297.94134908432636</c:v>
                </c:pt>
                <c:pt idx="16">
                  <c:v>327.16671422025456</c:v>
                </c:pt>
                <c:pt idx="17">
                  <c:v>336.4605756286154</c:v>
                </c:pt>
                <c:pt idx="18">
                  <c:v>359.63381663160271</c:v>
                </c:pt>
                <c:pt idx="19">
                  <c:v>376.94829841568196</c:v>
                </c:pt>
                <c:pt idx="20">
                  <c:v>415.93170017764788</c:v>
                </c:pt>
                <c:pt idx="21">
                  <c:v>525.19967753398373</c:v>
                </c:pt>
                <c:pt idx="22">
                  <c:v>569.3875757755269</c:v>
                </c:pt>
                <c:pt idx="23">
                  <c:v>702.68551761346328</c:v>
                </c:pt>
                <c:pt idx="24">
                  <c:v>818.89969077153478</c:v>
                </c:pt>
              </c:numCache>
            </c:numRef>
          </c:val>
          <c:smooth val="0"/>
        </c:ser>
        <c:ser>
          <c:idx val="3"/>
          <c:order val="3"/>
          <c:tx>
            <c:v>Decentral elforbrug</c:v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'Store varmepumper'!$Y$10:$Y$34</c:f>
              <c:numCache>
                <c:formatCode>#,##0</c:formatCode>
                <c:ptCount val="25"/>
                <c:pt idx="0">
                  <c:v>37.884573569361912</c:v>
                </c:pt>
                <c:pt idx="1">
                  <c:v>79.557711403663561</c:v>
                </c:pt>
                <c:pt idx="2">
                  <c:v>108.78675982343407</c:v>
                </c:pt>
                <c:pt idx="3">
                  <c:v>153.79969455573408</c:v>
                </c:pt>
                <c:pt idx="4">
                  <c:v>167.29250198251972</c:v>
                </c:pt>
                <c:pt idx="5">
                  <c:v>176.46790039531155</c:v>
                </c:pt>
                <c:pt idx="6">
                  <c:v>189.91389374192647</c:v>
                </c:pt>
                <c:pt idx="7">
                  <c:v>212.46736850024615</c:v>
                </c:pt>
                <c:pt idx="8">
                  <c:v>244.11540845539486</c:v>
                </c:pt>
                <c:pt idx="9">
                  <c:v>290.49799589139081</c:v>
                </c:pt>
                <c:pt idx="10">
                  <c:v>394.07330654344548</c:v>
                </c:pt>
                <c:pt idx="11">
                  <c:v>510.91273097864536</c:v>
                </c:pt>
                <c:pt idx="12">
                  <c:v>619.61667403715683</c:v>
                </c:pt>
                <c:pt idx="13">
                  <c:v>741.94194824616659</c:v>
                </c:pt>
                <c:pt idx="14">
                  <c:v>863.10723462031478</c:v>
                </c:pt>
                <c:pt idx="15">
                  <c:v>938.26504578046877</c:v>
                </c:pt>
                <c:pt idx="16">
                  <c:v>1016.2862687224064</c:v>
                </c:pt>
                <c:pt idx="17">
                  <c:v>1069.6661039131689</c:v>
                </c:pt>
                <c:pt idx="18">
                  <c:v>1118.8000211788838</c:v>
                </c:pt>
                <c:pt idx="19">
                  <c:v>1148.509943975057</c:v>
                </c:pt>
                <c:pt idx="20">
                  <c:v>1174.2786829566489</c:v>
                </c:pt>
                <c:pt idx="21">
                  <c:v>1186.4756871030097</c:v>
                </c:pt>
                <c:pt idx="22">
                  <c:v>1207.3382623466684</c:v>
                </c:pt>
                <c:pt idx="23">
                  <c:v>1204.8580786620289</c:v>
                </c:pt>
                <c:pt idx="24">
                  <c:v>1227.8656676412138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584640"/>
        <c:axId val="119582720"/>
      </c:lineChart>
      <c:catAx>
        <c:axId val="119579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9580544"/>
        <c:crosses val="autoZero"/>
        <c:auto val="1"/>
        <c:lblAlgn val="ctr"/>
        <c:lblOffset val="100"/>
        <c:noMultiLvlLbl val="0"/>
      </c:catAx>
      <c:valAx>
        <c:axId val="1195805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a-DK"/>
                  <a:t>MW</a:t>
                </a:r>
                <a:r>
                  <a:rPr lang="da-DK" baseline="-25000"/>
                  <a:t>el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19579008"/>
        <c:crosses val="autoZero"/>
        <c:crossBetween val="between"/>
      </c:valAx>
      <c:valAx>
        <c:axId val="11958272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a-DK"/>
                  <a:t>GWh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19584640"/>
        <c:crosses val="max"/>
        <c:crossBetween val="between"/>
      </c:valAx>
      <c:catAx>
        <c:axId val="119584640"/>
        <c:scaling>
          <c:orientation val="minMax"/>
        </c:scaling>
        <c:delete val="1"/>
        <c:axPos val="b"/>
        <c:majorTickMark val="out"/>
        <c:minorTickMark val="none"/>
        <c:tickLblPos val="nextTo"/>
        <c:crossAx val="11958272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Individuelle varmepumper og elbiler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Individuelle varmepumper, elforbrug</c:v>
          </c:tx>
          <c:marker>
            <c:symbol val="none"/>
          </c:marker>
          <c:cat>
            <c:numRef>
              <c:f>'Indiv. VP og elbiler'!$B$9:$B$33</c:f>
              <c:numCache>
                <c:formatCode>General</c:formatCode>
                <c:ptCount val="2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</c:numCache>
            </c:numRef>
          </c:cat>
          <c:val>
            <c:numRef>
              <c:f>'Indiv. VP og elbiler'!$C$9:$C$33</c:f>
              <c:numCache>
                <c:formatCode>#,##0</c:formatCode>
                <c:ptCount val="25"/>
                <c:pt idx="0">
                  <c:v>489.48279074392406</c:v>
                </c:pt>
                <c:pt idx="1">
                  <c:v>521.56776519760012</c:v>
                </c:pt>
                <c:pt idx="2">
                  <c:v>554.19818662290959</c:v>
                </c:pt>
                <c:pt idx="3">
                  <c:v>588.83070798926838</c:v>
                </c:pt>
                <c:pt idx="4">
                  <c:v>626.01073948971555</c:v>
                </c:pt>
                <c:pt idx="5">
                  <c:v>684.71689523268333</c:v>
                </c:pt>
                <c:pt idx="6">
                  <c:v>748.45688089308806</c:v>
                </c:pt>
                <c:pt idx="7">
                  <c:v>818.45188809197145</c:v>
                </c:pt>
                <c:pt idx="8">
                  <c:v>891.73846614108902</c:v>
                </c:pt>
                <c:pt idx="9">
                  <c:v>968.12439750721887</c:v>
                </c:pt>
                <c:pt idx="10">
                  <c:v>1047.4384726088638</c:v>
                </c:pt>
                <c:pt idx="11">
                  <c:v>1129.0443341058244</c:v>
                </c:pt>
                <c:pt idx="12">
                  <c:v>1213.3208615592071</c:v>
                </c:pt>
                <c:pt idx="13">
                  <c:v>1299.6006657305159</c:v>
                </c:pt>
                <c:pt idx="14">
                  <c:v>1385.1165901940242</c:v>
                </c:pt>
                <c:pt idx="15">
                  <c:v>1474.0063773922298</c:v>
                </c:pt>
                <c:pt idx="16">
                  <c:v>1570.1593831696641</c:v>
                </c:pt>
                <c:pt idx="17">
                  <c:v>1667.5578679746932</c:v>
                </c:pt>
                <c:pt idx="18">
                  <c:v>1730.2812894599297</c:v>
                </c:pt>
                <c:pt idx="19">
                  <c:v>1790.3617325936568</c:v>
                </c:pt>
                <c:pt idx="20">
                  <c:v>1850.5387431473157</c:v>
                </c:pt>
                <c:pt idx="21">
                  <c:v>1909.7931162907926</c:v>
                </c:pt>
                <c:pt idx="22">
                  <c:v>1968.0414583976205</c:v>
                </c:pt>
                <c:pt idx="23">
                  <c:v>2025.1970218071292</c:v>
                </c:pt>
                <c:pt idx="24">
                  <c:v>2081.1695936092933</c:v>
                </c:pt>
              </c:numCache>
            </c:numRef>
          </c:val>
          <c:smooth val="0"/>
        </c:ser>
        <c:ser>
          <c:idx val="1"/>
          <c:order val="1"/>
          <c:tx>
            <c:v>Elbiler, elforbrug</c:v>
          </c:tx>
          <c:marker>
            <c:symbol val="none"/>
          </c:marker>
          <c:cat>
            <c:numRef>
              <c:f>'Indiv. VP og elbiler'!$B$9:$B$33</c:f>
              <c:numCache>
                <c:formatCode>General</c:formatCode>
                <c:ptCount val="2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</c:numCache>
            </c:numRef>
          </c:cat>
          <c:val>
            <c:numRef>
              <c:f>'Indiv. VP og elbiler'!$E$9:$E$33</c:f>
              <c:numCache>
                <c:formatCode>#,##0</c:formatCode>
                <c:ptCount val="25"/>
                <c:pt idx="0">
                  <c:v>24.299999999999997</c:v>
                </c:pt>
                <c:pt idx="1">
                  <c:v>27</c:v>
                </c:pt>
                <c:pt idx="2">
                  <c:v>30</c:v>
                </c:pt>
                <c:pt idx="3">
                  <c:v>33.75</c:v>
                </c:pt>
                <c:pt idx="4">
                  <c:v>37.5</c:v>
                </c:pt>
                <c:pt idx="5">
                  <c:v>99.75</c:v>
                </c:pt>
                <c:pt idx="6">
                  <c:v>162</c:v>
                </c:pt>
                <c:pt idx="7">
                  <c:v>224.25</c:v>
                </c:pt>
                <c:pt idx="8">
                  <c:v>286.5</c:v>
                </c:pt>
                <c:pt idx="9">
                  <c:v>348.75</c:v>
                </c:pt>
                <c:pt idx="10">
                  <c:v>411</c:v>
                </c:pt>
                <c:pt idx="11">
                  <c:v>473.25</c:v>
                </c:pt>
                <c:pt idx="12">
                  <c:v>535.5</c:v>
                </c:pt>
                <c:pt idx="13">
                  <c:v>597.75</c:v>
                </c:pt>
                <c:pt idx="14">
                  <c:v>660</c:v>
                </c:pt>
                <c:pt idx="15">
                  <c:v>768</c:v>
                </c:pt>
                <c:pt idx="16">
                  <c:v>876</c:v>
                </c:pt>
                <c:pt idx="17">
                  <c:v>984</c:v>
                </c:pt>
                <c:pt idx="18">
                  <c:v>1092</c:v>
                </c:pt>
                <c:pt idx="19">
                  <c:v>1200</c:v>
                </c:pt>
                <c:pt idx="20">
                  <c:v>1410</c:v>
                </c:pt>
                <c:pt idx="21">
                  <c:v>1620</c:v>
                </c:pt>
                <c:pt idx="22">
                  <c:v>1830</c:v>
                </c:pt>
                <c:pt idx="23">
                  <c:v>2040</c:v>
                </c:pt>
                <c:pt idx="24">
                  <c:v>2250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661696"/>
        <c:axId val="119663232"/>
      </c:lineChart>
      <c:lineChart>
        <c:grouping val="standard"/>
        <c:varyColors val="0"/>
        <c:ser>
          <c:idx val="2"/>
          <c:order val="2"/>
          <c:tx>
            <c:v>Elbiler, antal</c:v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'Indiv. VP og elbiler'!$B$9:$B$33</c:f>
              <c:numCache>
                <c:formatCode>General</c:formatCode>
                <c:ptCount val="2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</c:numCache>
            </c:numRef>
          </c:cat>
          <c:val>
            <c:numRef>
              <c:f>'Indiv. VP og elbiler'!$D$9:$D$33</c:f>
              <c:numCache>
                <c:formatCode>#,##0.0</c:formatCode>
                <c:ptCount val="25"/>
                <c:pt idx="0">
                  <c:v>8.1</c:v>
                </c:pt>
                <c:pt idx="1">
                  <c:v>9</c:v>
                </c:pt>
                <c:pt idx="2">
                  <c:v>10</c:v>
                </c:pt>
                <c:pt idx="3">
                  <c:v>11.25</c:v>
                </c:pt>
                <c:pt idx="4">
                  <c:v>12.5</c:v>
                </c:pt>
                <c:pt idx="5">
                  <c:v>33.25</c:v>
                </c:pt>
                <c:pt idx="6">
                  <c:v>54</c:v>
                </c:pt>
                <c:pt idx="7">
                  <c:v>74.75</c:v>
                </c:pt>
                <c:pt idx="8">
                  <c:v>95.5</c:v>
                </c:pt>
                <c:pt idx="9">
                  <c:v>116.25</c:v>
                </c:pt>
                <c:pt idx="10">
                  <c:v>137</c:v>
                </c:pt>
                <c:pt idx="11">
                  <c:v>157.75</c:v>
                </c:pt>
                <c:pt idx="12">
                  <c:v>178.5</c:v>
                </c:pt>
                <c:pt idx="13">
                  <c:v>199.25</c:v>
                </c:pt>
                <c:pt idx="14">
                  <c:v>220</c:v>
                </c:pt>
                <c:pt idx="15">
                  <c:v>256</c:v>
                </c:pt>
                <c:pt idx="16">
                  <c:v>292</c:v>
                </c:pt>
                <c:pt idx="17">
                  <c:v>328</c:v>
                </c:pt>
                <c:pt idx="18">
                  <c:v>364</c:v>
                </c:pt>
                <c:pt idx="19">
                  <c:v>400</c:v>
                </c:pt>
                <c:pt idx="20">
                  <c:v>470</c:v>
                </c:pt>
                <c:pt idx="21">
                  <c:v>540</c:v>
                </c:pt>
                <c:pt idx="22">
                  <c:v>610</c:v>
                </c:pt>
                <c:pt idx="23">
                  <c:v>680</c:v>
                </c:pt>
                <c:pt idx="24">
                  <c:v>750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212672"/>
        <c:axId val="119210752"/>
      </c:lineChart>
      <c:catAx>
        <c:axId val="11966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9663232"/>
        <c:crosses val="autoZero"/>
        <c:auto val="1"/>
        <c:lblAlgn val="ctr"/>
        <c:lblOffset val="100"/>
        <c:noMultiLvlLbl val="0"/>
      </c:catAx>
      <c:valAx>
        <c:axId val="1196632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a-DK"/>
                  <a:t>GWh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19661696"/>
        <c:crosses val="autoZero"/>
        <c:crossBetween val="between"/>
      </c:valAx>
      <c:valAx>
        <c:axId val="11921075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a-DK"/>
                  <a:t>Antal, 1.000</a:t>
                </a:r>
                <a:r>
                  <a:rPr lang="da-DK" baseline="0"/>
                  <a:t> stk.</a:t>
                </a:r>
                <a:endParaRPr lang="da-DK"/>
              </a:p>
            </c:rich>
          </c:tx>
          <c:overlay val="0"/>
        </c:title>
        <c:numFmt formatCode="#,##0.0" sourceLinked="1"/>
        <c:majorTickMark val="out"/>
        <c:minorTickMark val="none"/>
        <c:tickLblPos val="nextTo"/>
        <c:crossAx val="119212672"/>
        <c:crosses val="max"/>
        <c:crossBetween val="between"/>
      </c:valAx>
      <c:catAx>
        <c:axId val="119212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9210752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Elpatroner på kraftvarmeværker i Danmark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Elkapacitet</c:v>
          </c:tx>
          <c:marker>
            <c:symbol val="none"/>
          </c:marker>
          <c:cat>
            <c:numRef>
              <c:f>Elpatroner!$B$9:$B$33</c:f>
              <c:numCache>
                <c:formatCode>General</c:formatCode>
                <c:ptCount val="2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</c:numCache>
            </c:numRef>
          </c:cat>
          <c:val>
            <c:numRef>
              <c:f>Elpatroner!$I$9:$I$33</c:f>
              <c:numCache>
                <c:formatCode>#,##0</c:formatCode>
                <c:ptCount val="25"/>
                <c:pt idx="0">
                  <c:v>556.9</c:v>
                </c:pt>
                <c:pt idx="1">
                  <c:v>666.9</c:v>
                </c:pt>
                <c:pt idx="2">
                  <c:v>666.9</c:v>
                </c:pt>
                <c:pt idx="3">
                  <c:v>666.9</c:v>
                </c:pt>
                <c:pt idx="4">
                  <c:v>666.9</c:v>
                </c:pt>
                <c:pt idx="5">
                  <c:v>666.9</c:v>
                </c:pt>
                <c:pt idx="6">
                  <c:v>666.9</c:v>
                </c:pt>
                <c:pt idx="7">
                  <c:v>666.9</c:v>
                </c:pt>
                <c:pt idx="8">
                  <c:v>666.9</c:v>
                </c:pt>
                <c:pt idx="9">
                  <c:v>666.9</c:v>
                </c:pt>
                <c:pt idx="10">
                  <c:v>666.9</c:v>
                </c:pt>
                <c:pt idx="11">
                  <c:v>666.9</c:v>
                </c:pt>
                <c:pt idx="12">
                  <c:v>666.9</c:v>
                </c:pt>
                <c:pt idx="13">
                  <c:v>666.9</c:v>
                </c:pt>
                <c:pt idx="14">
                  <c:v>666.9</c:v>
                </c:pt>
                <c:pt idx="15">
                  <c:v>666.9</c:v>
                </c:pt>
                <c:pt idx="16">
                  <c:v>666.9</c:v>
                </c:pt>
                <c:pt idx="17">
                  <c:v>666.9</c:v>
                </c:pt>
                <c:pt idx="18">
                  <c:v>666.9</c:v>
                </c:pt>
                <c:pt idx="19">
                  <c:v>666.9</c:v>
                </c:pt>
                <c:pt idx="20">
                  <c:v>666.9</c:v>
                </c:pt>
                <c:pt idx="21">
                  <c:v>666.9</c:v>
                </c:pt>
                <c:pt idx="22">
                  <c:v>666.9</c:v>
                </c:pt>
                <c:pt idx="23">
                  <c:v>666.9</c:v>
                </c:pt>
                <c:pt idx="24">
                  <c:v>666.9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690752"/>
        <c:axId val="119692288"/>
      </c:lineChart>
      <c:lineChart>
        <c:grouping val="standard"/>
        <c:varyColors val="0"/>
        <c:ser>
          <c:idx val="1"/>
          <c:order val="1"/>
          <c:tx>
            <c:v>Elforbrug</c:v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Elpatroner!$B$9:$B$33</c:f>
              <c:numCache>
                <c:formatCode>General</c:formatCode>
                <c:ptCount val="2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</c:numCache>
            </c:numRef>
          </c:cat>
          <c:val>
            <c:numRef>
              <c:f>Elpatroner!$J$9:$J$33</c:f>
              <c:numCache>
                <c:formatCode>#,##0</c:formatCode>
                <c:ptCount val="25"/>
                <c:pt idx="0">
                  <c:v>268.74211403316889</c:v>
                </c:pt>
                <c:pt idx="1">
                  <c:v>768.21481265888804</c:v>
                </c:pt>
                <c:pt idx="2">
                  <c:v>939.22082980861501</c:v>
                </c:pt>
                <c:pt idx="3">
                  <c:v>887.18602113055294</c:v>
                </c:pt>
                <c:pt idx="4">
                  <c:v>773.94326351586301</c:v>
                </c:pt>
                <c:pt idx="5">
                  <c:v>647.94517189446401</c:v>
                </c:pt>
                <c:pt idx="6">
                  <c:v>560.37819170708099</c:v>
                </c:pt>
                <c:pt idx="7">
                  <c:v>565.79148776350598</c:v>
                </c:pt>
                <c:pt idx="8">
                  <c:v>522.08330879224002</c:v>
                </c:pt>
                <c:pt idx="9">
                  <c:v>497.60360385133401</c:v>
                </c:pt>
                <c:pt idx="10">
                  <c:v>646.00727271076698</c:v>
                </c:pt>
                <c:pt idx="11">
                  <c:v>659.09429259308706</c:v>
                </c:pt>
                <c:pt idx="12">
                  <c:v>636.68710771772601</c:v>
                </c:pt>
                <c:pt idx="13">
                  <c:v>585.13516282876901</c:v>
                </c:pt>
                <c:pt idx="14">
                  <c:v>797.35726850929302</c:v>
                </c:pt>
                <c:pt idx="15">
                  <c:v>785.80778462086494</c:v>
                </c:pt>
                <c:pt idx="16">
                  <c:v>775.63570059422796</c:v>
                </c:pt>
                <c:pt idx="17">
                  <c:v>735.908375462501</c:v>
                </c:pt>
                <c:pt idx="18">
                  <c:v>729.53079350122789</c:v>
                </c:pt>
                <c:pt idx="19">
                  <c:v>691.67259728797899</c:v>
                </c:pt>
                <c:pt idx="20">
                  <c:v>664.520813505815</c:v>
                </c:pt>
                <c:pt idx="21">
                  <c:v>611.86996896961102</c:v>
                </c:pt>
                <c:pt idx="22">
                  <c:v>590.84144308784903</c:v>
                </c:pt>
                <c:pt idx="23">
                  <c:v>543.51719905547907</c:v>
                </c:pt>
                <c:pt idx="24">
                  <c:v>551.23667060412697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704576"/>
        <c:axId val="119702656"/>
      </c:lineChart>
      <c:catAx>
        <c:axId val="119690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9692288"/>
        <c:crosses val="autoZero"/>
        <c:auto val="1"/>
        <c:lblAlgn val="ctr"/>
        <c:lblOffset val="100"/>
        <c:noMultiLvlLbl val="0"/>
      </c:catAx>
      <c:valAx>
        <c:axId val="119692288"/>
        <c:scaling>
          <c:orientation val="minMax"/>
          <c:max val="850"/>
          <c:min val="4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a-DK"/>
                  <a:t>MW</a:t>
                </a:r>
                <a:r>
                  <a:rPr lang="da-DK" baseline="-25000"/>
                  <a:t>el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19690752"/>
        <c:crosses val="autoZero"/>
        <c:crossBetween val="between"/>
      </c:valAx>
      <c:valAx>
        <c:axId val="11970265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a-DK"/>
                  <a:t>GWh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19704576"/>
        <c:crosses val="max"/>
        <c:crossBetween val="between"/>
      </c:valAx>
      <c:catAx>
        <c:axId val="119704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970265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Udvikling</a:t>
            </a:r>
            <a:r>
              <a:rPr lang="da-DK" baseline="0"/>
              <a:t> i l</a:t>
            </a:r>
            <a:r>
              <a:rPr lang="da-DK"/>
              <a:t>andmøller</a:t>
            </a:r>
          </a:p>
        </c:rich>
      </c:tx>
      <c:overlay val="0"/>
    </c:title>
    <c:autoTitleDeleted val="0"/>
    <c:plotArea>
      <c:layout/>
      <c:areaChart>
        <c:grouping val="stacked"/>
        <c:varyColors val="0"/>
        <c:ser>
          <c:idx val="1"/>
          <c:order val="0"/>
          <c:tx>
            <c:strRef>
              <c:f>Vindkapacitet!$B$62</c:f>
              <c:strCache>
                <c:ptCount val="1"/>
                <c:pt idx="0">
                  <c:v>Landvind, før 2008</c:v>
                </c:pt>
              </c:strCache>
            </c:strRef>
          </c:tx>
          <c:cat>
            <c:numRef>
              <c:f>Vindkapacitet!$C$44:$AA$44</c:f>
              <c:numCache>
                <c:formatCode>General</c:formatCode>
                <c:ptCount val="2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</c:numCache>
            </c:numRef>
          </c:cat>
          <c:val>
            <c:numRef>
              <c:f>Vindkapacitet!$C$62:$AA$62</c:f>
              <c:numCache>
                <c:formatCode>#,##0</c:formatCode>
                <c:ptCount val="25"/>
                <c:pt idx="0">
                  <c:v>2427.3000000000002</c:v>
                </c:pt>
                <c:pt idx="1">
                  <c:v>2359.6491000000001</c:v>
                </c:pt>
                <c:pt idx="2">
                  <c:v>2294.0102000000002</c:v>
                </c:pt>
                <c:pt idx="3">
                  <c:v>2228.3713000000002</c:v>
                </c:pt>
                <c:pt idx="4">
                  <c:v>2162.7323999999999</c:v>
                </c:pt>
                <c:pt idx="5">
                  <c:v>2079.3402857142855</c:v>
                </c:pt>
                <c:pt idx="6">
                  <c:v>1995.9481714285716</c:v>
                </c:pt>
                <c:pt idx="7">
                  <c:v>1839.4907714285714</c:v>
                </c:pt>
                <c:pt idx="8">
                  <c:v>1683.0333714285716</c:v>
                </c:pt>
                <c:pt idx="9">
                  <c:v>1526.5759714285716</c:v>
                </c:pt>
                <c:pt idx="10">
                  <c:v>1370.1185714285718</c:v>
                </c:pt>
                <c:pt idx="11">
                  <c:v>1174.3873469387759</c:v>
                </c:pt>
                <c:pt idx="12">
                  <c:v>978.65612244897989</c:v>
                </c:pt>
                <c:pt idx="13">
                  <c:v>782.92489795918402</c:v>
                </c:pt>
                <c:pt idx="14">
                  <c:v>587.19367346938805</c:v>
                </c:pt>
                <c:pt idx="15">
                  <c:v>391.46244897959207</c:v>
                </c:pt>
                <c:pt idx="16">
                  <c:v>195.73122448979615</c:v>
                </c:pt>
                <c:pt idx="17">
                  <c:v>1.7053025658242404E-13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2"/>
          <c:order val="1"/>
          <c:tx>
            <c:strRef>
              <c:f>Vindkapacitet!$B$63</c:f>
              <c:strCache>
                <c:ptCount val="1"/>
                <c:pt idx="0">
                  <c:v>Landvind, mellem 2008 - 2013</c:v>
                </c:pt>
              </c:strCache>
            </c:strRef>
          </c:tx>
          <c:cat>
            <c:numRef>
              <c:f>Vindkapacitet!$C$44:$AA$44</c:f>
              <c:numCache>
                <c:formatCode>General</c:formatCode>
                <c:ptCount val="2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</c:numCache>
            </c:numRef>
          </c:cat>
          <c:val>
            <c:numRef>
              <c:f>Vindkapacitet!$C$63:$AA$63</c:f>
              <c:numCache>
                <c:formatCode>#,##0</c:formatCode>
                <c:ptCount val="25"/>
                <c:pt idx="0">
                  <c:v>1042.3</c:v>
                </c:pt>
                <c:pt idx="1">
                  <c:v>1042.3</c:v>
                </c:pt>
                <c:pt idx="2">
                  <c:v>1042.3</c:v>
                </c:pt>
                <c:pt idx="3">
                  <c:v>1042.3</c:v>
                </c:pt>
                <c:pt idx="4">
                  <c:v>1042.3</c:v>
                </c:pt>
                <c:pt idx="5">
                  <c:v>1042.3</c:v>
                </c:pt>
                <c:pt idx="6">
                  <c:v>1042.3</c:v>
                </c:pt>
                <c:pt idx="7">
                  <c:v>1042.3</c:v>
                </c:pt>
                <c:pt idx="8">
                  <c:v>1042.3</c:v>
                </c:pt>
                <c:pt idx="9">
                  <c:v>1042.3</c:v>
                </c:pt>
                <c:pt idx="10">
                  <c:v>1042.3</c:v>
                </c:pt>
                <c:pt idx="11">
                  <c:v>1042.3</c:v>
                </c:pt>
                <c:pt idx="12">
                  <c:v>1042.3</c:v>
                </c:pt>
                <c:pt idx="13">
                  <c:v>1042.3</c:v>
                </c:pt>
                <c:pt idx="14">
                  <c:v>1042.3</c:v>
                </c:pt>
                <c:pt idx="15">
                  <c:v>1042.3</c:v>
                </c:pt>
                <c:pt idx="16">
                  <c:v>1042.3</c:v>
                </c:pt>
                <c:pt idx="17">
                  <c:v>1042.3</c:v>
                </c:pt>
                <c:pt idx="18">
                  <c:v>868.58333333333337</c:v>
                </c:pt>
                <c:pt idx="19">
                  <c:v>694.86666666666667</c:v>
                </c:pt>
                <c:pt idx="20">
                  <c:v>521.15</c:v>
                </c:pt>
                <c:pt idx="21">
                  <c:v>347.43333333333334</c:v>
                </c:pt>
                <c:pt idx="22">
                  <c:v>173.71666666666667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3"/>
          <c:order val="2"/>
          <c:tx>
            <c:strRef>
              <c:f>Vindkapacitet!$B$64</c:f>
              <c:strCache>
                <c:ptCount val="1"/>
                <c:pt idx="0">
                  <c:v>Landvind, mellem 2014 - 2019</c:v>
                </c:pt>
              </c:strCache>
            </c:strRef>
          </c:tx>
          <c:cat>
            <c:numRef>
              <c:f>Vindkapacitet!$C$44:$AA$44</c:f>
              <c:numCache>
                <c:formatCode>General</c:formatCode>
                <c:ptCount val="2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</c:numCache>
            </c:numRef>
          </c:cat>
          <c:val>
            <c:numRef>
              <c:f>Vindkapacitet!$C$64:$AA$64</c:f>
              <c:numCache>
                <c:formatCode>#,##0</c:formatCode>
                <c:ptCount val="25"/>
                <c:pt idx="0">
                  <c:v>339.53000000000003</c:v>
                </c:pt>
                <c:pt idx="1">
                  <c:v>549.53</c:v>
                </c:pt>
                <c:pt idx="2">
                  <c:v>759.53</c:v>
                </c:pt>
                <c:pt idx="3">
                  <c:v>950.16889999999989</c:v>
                </c:pt>
                <c:pt idx="4">
                  <c:v>1140.8078</c:v>
                </c:pt>
                <c:pt idx="5">
                  <c:v>1140.8078</c:v>
                </c:pt>
                <c:pt idx="6">
                  <c:v>1140.8078</c:v>
                </c:pt>
                <c:pt idx="7">
                  <c:v>1140.8078</c:v>
                </c:pt>
                <c:pt idx="8">
                  <c:v>1140.8078</c:v>
                </c:pt>
                <c:pt idx="9">
                  <c:v>1140.8078</c:v>
                </c:pt>
                <c:pt idx="10">
                  <c:v>1140.8078</c:v>
                </c:pt>
                <c:pt idx="11">
                  <c:v>1140.8078</c:v>
                </c:pt>
                <c:pt idx="12">
                  <c:v>1140.8078</c:v>
                </c:pt>
                <c:pt idx="13">
                  <c:v>1140.8078</c:v>
                </c:pt>
                <c:pt idx="14">
                  <c:v>1140.8078</c:v>
                </c:pt>
                <c:pt idx="15">
                  <c:v>1140.8078</c:v>
                </c:pt>
                <c:pt idx="16">
                  <c:v>1140.8078</c:v>
                </c:pt>
                <c:pt idx="17">
                  <c:v>1140.8078</c:v>
                </c:pt>
                <c:pt idx="18">
                  <c:v>1140.8078</c:v>
                </c:pt>
                <c:pt idx="19">
                  <c:v>1140.8078</c:v>
                </c:pt>
                <c:pt idx="20">
                  <c:v>1140.8078</c:v>
                </c:pt>
                <c:pt idx="21">
                  <c:v>1140.8078</c:v>
                </c:pt>
                <c:pt idx="22">
                  <c:v>1140.8078</c:v>
                </c:pt>
                <c:pt idx="23">
                  <c:v>1140.8078</c:v>
                </c:pt>
                <c:pt idx="24">
                  <c:v>950.6731666666667</c:v>
                </c:pt>
              </c:numCache>
            </c:numRef>
          </c:val>
        </c:ser>
        <c:ser>
          <c:idx val="4"/>
          <c:order val="3"/>
          <c:tx>
            <c:strRef>
              <c:f>Vindkapacitet!$B$65</c:f>
              <c:strCache>
                <c:ptCount val="1"/>
                <c:pt idx="0">
                  <c:v>Landvind, fra 2020 og frem</c:v>
                </c:pt>
              </c:strCache>
            </c:strRef>
          </c:tx>
          <c:cat>
            <c:numRef>
              <c:f>Vindkapacitet!$C$44:$AA$44</c:f>
              <c:numCache>
                <c:formatCode>General</c:formatCode>
                <c:ptCount val="2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</c:numCache>
            </c:numRef>
          </c:cat>
          <c:val>
            <c:numRef>
              <c:f>Vindkapacitet!$C$65:$AA$65</c:f>
              <c:numCache>
                <c:formatCode>#,##0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208.39211428571423</c:v>
                </c:pt>
                <c:pt idx="6">
                  <c:v>416.78422857142846</c:v>
                </c:pt>
                <c:pt idx="7">
                  <c:v>698.24162857142846</c:v>
                </c:pt>
                <c:pt idx="8">
                  <c:v>979.69902857142836</c:v>
                </c:pt>
                <c:pt idx="9">
                  <c:v>1261.1564285714285</c:v>
                </c:pt>
                <c:pt idx="10">
                  <c:v>1542.6138285714283</c:v>
                </c:pt>
                <c:pt idx="11">
                  <c:v>1863.345053061224</c:v>
                </c:pt>
                <c:pt idx="12">
                  <c:v>2184.0762775510202</c:v>
                </c:pt>
                <c:pt idx="13">
                  <c:v>2504.807502040816</c:v>
                </c:pt>
                <c:pt idx="14">
                  <c:v>2825.5387265306117</c:v>
                </c:pt>
                <c:pt idx="15">
                  <c:v>3146.2699510204075</c:v>
                </c:pt>
                <c:pt idx="16">
                  <c:v>3467.0011755102032</c:v>
                </c:pt>
                <c:pt idx="17">
                  <c:v>3787.732399999999</c:v>
                </c:pt>
                <c:pt idx="18">
                  <c:v>4086.4490666666657</c:v>
                </c:pt>
                <c:pt idx="19">
                  <c:v>4385.1657333333324</c:v>
                </c:pt>
                <c:pt idx="20">
                  <c:v>4683.8823999999995</c:v>
                </c:pt>
                <c:pt idx="21">
                  <c:v>4982.5990666666657</c:v>
                </c:pt>
                <c:pt idx="22">
                  <c:v>5281.3157333333329</c:v>
                </c:pt>
                <c:pt idx="23">
                  <c:v>5580.0324000000001</c:v>
                </c:pt>
                <c:pt idx="24">
                  <c:v>5895.1670333333332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011584"/>
        <c:axId val="121013376"/>
      </c:areaChart>
      <c:lineChart>
        <c:grouping val="standard"/>
        <c:varyColors val="0"/>
        <c:ser>
          <c:idx val="0"/>
          <c:order val="4"/>
          <c:tx>
            <c:strRef>
              <c:f>Vindkapacitet!$B$70</c:f>
              <c:strCache>
                <c:ptCount val="1"/>
                <c:pt idx="0">
                  <c:v>Landvind, AF2015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Vindkapacitet!$C$70:$V$70</c:f>
              <c:numCache>
                <c:formatCode>#,##0</c:formatCode>
                <c:ptCount val="20"/>
                <c:pt idx="0">
                  <c:v>3770.19</c:v>
                </c:pt>
                <c:pt idx="1">
                  <c:v>3919.8395</c:v>
                </c:pt>
                <c:pt idx="2">
                  <c:v>3969.8395</c:v>
                </c:pt>
                <c:pt idx="3">
                  <c:v>4019.8395000000005</c:v>
                </c:pt>
                <c:pt idx="4">
                  <c:v>4069.8395</c:v>
                </c:pt>
                <c:pt idx="5">
                  <c:v>4119.8395</c:v>
                </c:pt>
                <c:pt idx="6">
                  <c:v>4169.8395</c:v>
                </c:pt>
                <c:pt idx="7">
                  <c:v>4219.8395</c:v>
                </c:pt>
                <c:pt idx="8">
                  <c:v>4269.8395</c:v>
                </c:pt>
                <c:pt idx="9">
                  <c:v>4319.8395</c:v>
                </c:pt>
                <c:pt idx="10">
                  <c:v>4369.8395</c:v>
                </c:pt>
                <c:pt idx="11">
                  <c:v>4419.8395</c:v>
                </c:pt>
                <c:pt idx="12">
                  <c:v>4469.839500000001</c:v>
                </c:pt>
                <c:pt idx="13">
                  <c:v>4519.8395</c:v>
                </c:pt>
                <c:pt idx="14">
                  <c:v>4569.8395</c:v>
                </c:pt>
                <c:pt idx="15">
                  <c:v>4619.8395</c:v>
                </c:pt>
                <c:pt idx="16">
                  <c:v>4626.1895000000004</c:v>
                </c:pt>
                <c:pt idx="17">
                  <c:v>4632.5394999999999</c:v>
                </c:pt>
                <c:pt idx="18">
                  <c:v>4638.8895000000002</c:v>
                </c:pt>
                <c:pt idx="19">
                  <c:v>4645.2394999999997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011584"/>
        <c:axId val="121013376"/>
      </c:lineChart>
      <c:catAx>
        <c:axId val="12101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1013376"/>
        <c:crosses val="autoZero"/>
        <c:auto val="1"/>
        <c:lblAlgn val="ctr"/>
        <c:lblOffset val="100"/>
        <c:noMultiLvlLbl val="0"/>
      </c:catAx>
      <c:valAx>
        <c:axId val="1210133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a-DK"/>
                  <a:t>MW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crossAx val="121011584"/>
        <c:crosses val="autoZero"/>
        <c:crossBetween val="between"/>
      </c:valAx>
    </c:plotArea>
    <c:legend>
      <c:legendPos val="b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Udvikling i vindkapacitet i Danmark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Vindkapacitet!$B$66</c:f>
              <c:strCache>
                <c:ptCount val="1"/>
                <c:pt idx="0">
                  <c:v>Landvind</c:v>
                </c:pt>
              </c:strCache>
            </c:strRef>
          </c:tx>
          <c:marker>
            <c:symbol val="none"/>
          </c:marker>
          <c:cat>
            <c:numRef>
              <c:f>Vindkapacitet!$C$44:$AA$44</c:f>
              <c:numCache>
                <c:formatCode>General</c:formatCode>
                <c:ptCount val="2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</c:numCache>
            </c:numRef>
          </c:cat>
          <c:val>
            <c:numRef>
              <c:f>Vindkapacitet!$C$66:$AA$66</c:f>
              <c:numCache>
                <c:formatCode>#,##0</c:formatCode>
                <c:ptCount val="25"/>
                <c:pt idx="0">
                  <c:v>3809.1300000000006</c:v>
                </c:pt>
                <c:pt idx="1">
                  <c:v>3951.4791000000005</c:v>
                </c:pt>
                <c:pt idx="2">
                  <c:v>4095.8402000000006</c:v>
                </c:pt>
                <c:pt idx="3">
                  <c:v>4220.8401999999996</c:v>
                </c:pt>
                <c:pt idx="4">
                  <c:v>4345.8402000000006</c:v>
                </c:pt>
                <c:pt idx="5">
                  <c:v>4470.8402000000006</c:v>
                </c:pt>
                <c:pt idx="6">
                  <c:v>4595.8401999999996</c:v>
                </c:pt>
                <c:pt idx="7">
                  <c:v>4720.8401999999996</c:v>
                </c:pt>
                <c:pt idx="8">
                  <c:v>4845.8401999999996</c:v>
                </c:pt>
                <c:pt idx="9">
                  <c:v>4970.8402000000006</c:v>
                </c:pt>
                <c:pt idx="10">
                  <c:v>5095.8402000000006</c:v>
                </c:pt>
                <c:pt idx="11">
                  <c:v>5220.8402000000006</c:v>
                </c:pt>
                <c:pt idx="12">
                  <c:v>5345.8402000000006</c:v>
                </c:pt>
                <c:pt idx="13">
                  <c:v>5470.8401999999996</c:v>
                </c:pt>
                <c:pt idx="14">
                  <c:v>5595.8401999999996</c:v>
                </c:pt>
                <c:pt idx="15">
                  <c:v>5720.8401999999996</c:v>
                </c:pt>
                <c:pt idx="16">
                  <c:v>5845.8401999999996</c:v>
                </c:pt>
                <c:pt idx="17">
                  <c:v>5970.8401999999987</c:v>
                </c:pt>
                <c:pt idx="18">
                  <c:v>6095.8401999999987</c:v>
                </c:pt>
                <c:pt idx="19">
                  <c:v>6220.8401999999987</c:v>
                </c:pt>
                <c:pt idx="20">
                  <c:v>6345.8401999999987</c:v>
                </c:pt>
                <c:pt idx="21">
                  <c:v>6470.8401999999987</c:v>
                </c:pt>
                <c:pt idx="22">
                  <c:v>6595.8401999999996</c:v>
                </c:pt>
                <c:pt idx="23">
                  <c:v>6720.8401999999996</c:v>
                </c:pt>
                <c:pt idx="24">
                  <c:v>6845.8401999999996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Vindkapacitet!$B$67</c:f>
              <c:strCache>
                <c:ptCount val="1"/>
                <c:pt idx="0">
                  <c:v>Kystvind</c:v>
                </c:pt>
              </c:strCache>
            </c:strRef>
          </c:tx>
          <c:marker>
            <c:symbol val="none"/>
          </c:marker>
          <c:cat>
            <c:numRef>
              <c:f>Vindkapacitet!$C$44:$AA$44</c:f>
              <c:numCache>
                <c:formatCode>General</c:formatCode>
                <c:ptCount val="2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</c:numCache>
            </c:numRef>
          </c:cat>
          <c:val>
            <c:numRef>
              <c:f>Vindkapacitet!$C$67:$AA$67</c:f>
              <c:numCache>
                <c:formatCode>#,##0</c:formatCode>
                <c:ptCount val="25"/>
                <c:pt idx="0">
                  <c:v>129.55000000000001</c:v>
                </c:pt>
                <c:pt idx="1">
                  <c:v>124.6</c:v>
                </c:pt>
                <c:pt idx="2">
                  <c:v>124.6</c:v>
                </c:pt>
                <c:pt idx="3">
                  <c:v>124.6</c:v>
                </c:pt>
                <c:pt idx="4">
                  <c:v>524.6</c:v>
                </c:pt>
                <c:pt idx="5">
                  <c:v>569.6</c:v>
                </c:pt>
                <c:pt idx="6">
                  <c:v>569.6</c:v>
                </c:pt>
                <c:pt idx="7">
                  <c:v>569.6</c:v>
                </c:pt>
                <c:pt idx="8">
                  <c:v>569.6</c:v>
                </c:pt>
                <c:pt idx="9">
                  <c:v>569.6</c:v>
                </c:pt>
                <c:pt idx="10">
                  <c:v>529.6</c:v>
                </c:pt>
                <c:pt idx="11">
                  <c:v>529.6</c:v>
                </c:pt>
                <c:pt idx="12">
                  <c:v>529.6</c:v>
                </c:pt>
                <c:pt idx="13">
                  <c:v>481.8</c:v>
                </c:pt>
                <c:pt idx="14">
                  <c:v>481.8</c:v>
                </c:pt>
                <c:pt idx="15">
                  <c:v>481.8</c:v>
                </c:pt>
                <c:pt idx="16">
                  <c:v>481.8</c:v>
                </c:pt>
                <c:pt idx="17">
                  <c:v>481.8</c:v>
                </c:pt>
                <c:pt idx="18">
                  <c:v>481.8</c:v>
                </c:pt>
                <c:pt idx="19">
                  <c:v>453.6</c:v>
                </c:pt>
                <c:pt idx="20">
                  <c:v>453.6</c:v>
                </c:pt>
                <c:pt idx="21">
                  <c:v>450</c:v>
                </c:pt>
                <c:pt idx="22">
                  <c:v>450</c:v>
                </c:pt>
                <c:pt idx="23">
                  <c:v>450</c:v>
                </c:pt>
                <c:pt idx="24">
                  <c:v>450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Vindkapacitet!$B$68</c:f>
              <c:strCache>
                <c:ptCount val="1"/>
                <c:pt idx="0">
                  <c:v>Havvind</c:v>
                </c:pt>
              </c:strCache>
            </c:strRef>
          </c:tx>
          <c:marker>
            <c:symbol val="none"/>
          </c:marker>
          <c:cat>
            <c:numRef>
              <c:f>Vindkapacitet!$C$44:$AA$44</c:f>
              <c:numCache>
                <c:formatCode>General</c:formatCode>
                <c:ptCount val="2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</c:numCache>
            </c:numRef>
          </c:cat>
          <c:val>
            <c:numRef>
              <c:f>Vindkapacitet!$C$68:$AA$68</c:f>
              <c:numCache>
                <c:formatCode>#,##0</c:formatCode>
                <c:ptCount val="25"/>
                <c:pt idx="0">
                  <c:v>1141.5</c:v>
                </c:pt>
                <c:pt idx="1">
                  <c:v>1141.5</c:v>
                </c:pt>
                <c:pt idx="2">
                  <c:v>1141.5</c:v>
                </c:pt>
                <c:pt idx="3">
                  <c:v>1548.2000000000003</c:v>
                </c:pt>
                <c:pt idx="4">
                  <c:v>1748.2000000000003</c:v>
                </c:pt>
                <c:pt idx="5">
                  <c:v>1948.2000000000003</c:v>
                </c:pt>
                <c:pt idx="6">
                  <c:v>2148.2000000000003</c:v>
                </c:pt>
                <c:pt idx="7">
                  <c:v>2148.2000000000003</c:v>
                </c:pt>
                <c:pt idx="8">
                  <c:v>2148.2000000000003</c:v>
                </c:pt>
                <c:pt idx="9">
                  <c:v>2148.2000000000003</c:v>
                </c:pt>
                <c:pt idx="10">
                  <c:v>2148.2000000000003</c:v>
                </c:pt>
                <c:pt idx="11">
                  <c:v>2348.2000000000003</c:v>
                </c:pt>
                <c:pt idx="12">
                  <c:v>2388.2000000000003</c:v>
                </c:pt>
                <c:pt idx="13">
                  <c:v>2222.6000000000004</c:v>
                </c:pt>
                <c:pt idx="14">
                  <c:v>2422.6000000000004</c:v>
                </c:pt>
                <c:pt idx="15">
                  <c:v>2622.6000000000004</c:v>
                </c:pt>
                <c:pt idx="16">
                  <c:v>2622.6000000000004</c:v>
                </c:pt>
                <c:pt idx="17">
                  <c:v>2822.6000000000004</c:v>
                </c:pt>
                <c:pt idx="18">
                  <c:v>3022.6000000000004</c:v>
                </c:pt>
                <c:pt idx="19">
                  <c:v>2813.3</c:v>
                </c:pt>
                <c:pt idx="20">
                  <c:v>2806.3</c:v>
                </c:pt>
                <c:pt idx="21">
                  <c:v>3006.3</c:v>
                </c:pt>
                <c:pt idx="22">
                  <c:v>3006.3</c:v>
                </c:pt>
                <c:pt idx="23">
                  <c:v>2806.7</c:v>
                </c:pt>
                <c:pt idx="24">
                  <c:v>3006.7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Vindkapacitet!$B$70</c:f>
              <c:strCache>
                <c:ptCount val="1"/>
                <c:pt idx="0">
                  <c:v>Landvind, AF2015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Vindkapacitet!$C$44:$AA$44</c:f>
              <c:numCache>
                <c:formatCode>General</c:formatCode>
                <c:ptCount val="2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</c:numCache>
            </c:numRef>
          </c:cat>
          <c:val>
            <c:numRef>
              <c:f>Vindkapacitet!$C$70:$V$70</c:f>
              <c:numCache>
                <c:formatCode>#,##0</c:formatCode>
                <c:ptCount val="20"/>
                <c:pt idx="0">
                  <c:v>3770.19</c:v>
                </c:pt>
                <c:pt idx="1">
                  <c:v>3919.8395</c:v>
                </c:pt>
                <c:pt idx="2">
                  <c:v>3969.8395</c:v>
                </c:pt>
                <c:pt idx="3">
                  <c:v>4019.8395000000005</c:v>
                </c:pt>
                <c:pt idx="4">
                  <c:v>4069.8395</c:v>
                </c:pt>
                <c:pt idx="5">
                  <c:v>4119.8395</c:v>
                </c:pt>
                <c:pt idx="6">
                  <c:v>4169.8395</c:v>
                </c:pt>
                <c:pt idx="7">
                  <c:v>4219.8395</c:v>
                </c:pt>
                <c:pt idx="8">
                  <c:v>4269.8395</c:v>
                </c:pt>
                <c:pt idx="9">
                  <c:v>4319.8395</c:v>
                </c:pt>
                <c:pt idx="10">
                  <c:v>4369.8395</c:v>
                </c:pt>
                <c:pt idx="11">
                  <c:v>4419.8395</c:v>
                </c:pt>
                <c:pt idx="12">
                  <c:v>4469.839500000001</c:v>
                </c:pt>
                <c:pt idx="13">
                  <c:v>4519.8395</c:v>
                </c:pt>
                <c:pt idx="14">
                  <c:v>4569.8395</c:v>
                </c:pt>
                <c:pt idx="15">
                  <c:v>4619.8395</c:v>
                </c:pt>
                <c:pt idx="16">
                  <c:v>4626.1895000000004</c:v>
                </c:pt>
                <c:pt idx="17">
                  <c:v>4632.5394999999999</c:v>
                </c:pt>
                <c:pt idx="18">
                  <c:v>4638.8895000000002</c:v>
                </c:pt>
                <c:pt idx="19">
                  <c:v>4645.2394999999997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Vindkapacitet!$B$71</c:f>
              <c:strCache>
                <c:ptCount val="1"/>
                <c:pt idx="0">
                  <c:v>Kystvind, AF2015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Vindkapacitet!$C$44:$AA$44</c:f>
              <c:numCache>
                <c:formatCode>General</c:formatCode>
                <c:ptCount val="2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</c:numCache>
            </c:numRef>
          </c:cat>
          <c:val>
            <c:numRef>
              <c:f>Vindkapacitet!$C$71:$V$71</c:f>
              <c:numCache>
                <c:formatCode>#,##0</c:formatCode>
                <c:ptCount val="20"/>
                <c:pt idx="0">
                  <c:v>129.55000000000001</c:v>
                </c:pt>
                <c:pt idx="1">
                  <c:v>129.55000000000001</c:v>
                </c:pt>
                <c:pt idx="2">
                  <c:v>129.55000000000001</c:v>
                </c:pt>
                <c:pt idx="3">
                  <c:v>129.55000000000001</c:v>
                </c:pt>
                <c:pt idx="4">
                  <c:v>529.54999999999995</c:v>
                </c:pt>
                <c:pt idx="5">
                  <c:v>529.54999999999995</c:v>
                </c:pt>
                <c:pt idx="6">
                  <c:v>529.54999999999995</c:v>
                </c:pt>
                <c:pt idx="7">
                  <c:v>529.54999999999995</c:v>
                </c:pt>
                <c:pt idx="8">
                  <c:v>529.54999999999995</c:v>
                </c:pt>
                <c:pt idx="9">
                  <c:v>529.54999999999995</c:v>
                </c:pt>
                <c:pt idx="10">
                  <c:v>529.54999999999995</c:v>
                </c:pt>
                <c:pt idx="11">
                  <c:v>529.54999999999995</c:v>
                </c:pt>
                <c:pt idx="12">
                  <c:v>529.54999999999995</c:v>
                </c:pt>
                <c:pt idx="13">
                  <c:v>529.54999999999995</c:v>
                </c:pt>
                <c:pt idx="14">
                  <c:v>529.54999999999995</c:v>
                </c:pt>
                <c:pt idx="15">
                  <c:v>529.54999999999995</c:v>
                </c:pt>
                <c:pt idx="16">
                  <c:v>529.54999999999995</c:v>
                </c:pt>
                <c:pt idx="17">
                  <c:v>529.54999999999995</c:v>
                </c:pt>
                <c:pt idx="18">
                  <c:v>529.54999999999995</c:v>
                </c:pt>
                <c:pt idx="19">
                  <c:v>529.54999999999995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Vindkapacitet!$B$72</c:f>
              <c:strCache>
                <c:ptCount val="1"/>
                <c:pt idx="0">
                  <c:v>Havvind, AF2015</c:v>
                </c:pt>
              </c:strCache>
            </c:strRef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Vindkapacitet!$C$44:$AA$44</c:f>
              <c:numCache>
                <c:formatCode>General</c:formatCode>
                <c:ptCount val="2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</c:numCache>
            </c:numRef>
          </c:cat>
          <c:val>
            <c:numRef>
              <c:f>Vindkapacitet!$C$72:$V$72</c:f>
              <c:numCache>
                <c:formatCode>#,##0</c:formatCode>
                <c:ptCount val="20"/>
                <c:pt idx="0">
                  <c:v>1141.5</c:v>
                </c:pt>
                <c:pt idx="1">
                  <c:v>1141.5</c:v>
                </c:pt>
                <c:pt idx="2">
                  <c:v>1241.5</c:v>
                </c:pt>
                <c:pt idx="3">
                  <c:v>1391.5</c:v>
                </c:pt>
                <c:pt idx="4">
                  <c:v>1741.5</c:v>
                </c:pt>
                <c:pt idx="5">
                  <c:v>1941.5</c:v>
                </c:pt>
                <c:pt idx="6">
                  <c:v>2141.5</c:v>
                </c:pt>
                <c:pt idx="7">
                  <c:v>2141.5</c:v>
                </c:pt>
                <c:pt idx="8">
                  <c:v>2141.5</c:v>
                </c:pt>
                <c:pt idx="9">
                  <c:v>2141.5</c:v>
                </c:pt>
                <c:pt idx="10">
                  <c:v>2341.5</c:v>
                </c:pt>
                <c:pt idx="11">
                  <c:v>2541.5</c:v>
                </c:pt>
                <c:pt idx="12">
                  <c:v>2541.5</c:v>
                </c:pt>
                <c:pt idx="13">
                  <c:v>2741.5</c:v>
                </c:pt>
                <c:pt idx="14">
                  <c:v>2941.5</c:v>
                </c:pt>
                <c:pt idx="15">
                  <c:v>2941.5</c:v>
                </c:pt>
                <c:pt idx="16">
                  <c:v>2941.5</c:v>
                </c:pt>
                <c:pt idx="17">
                  <c:v>2941.5</c:v>
                </c:pt>
                <c:pt idx="18">
                  <c:v>2941.5</c:v>
                </c:pt>
                <c:pt idx="19">
                  <c:v>2941.5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411456"/>
        <c:axId val="121412992"/>
      </c:lineChart>
      <c:catAx>
        <c:axId val="121411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1412992"/>
        <c:crosses val="autoZero"/>
        <c:auto val="1"/>
        <c:lblAlgn val="ctr"/>
        <c:lblOffset val="100"/>
        <c:noMultiLvlLbl val="0"/>
      </c:catAx>
      <c:valAx>
        <c:axId val="1214129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a-DK"/>
                  <a:t>MW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21411456"/>
        <c:crosses val="autoZero"/>
        <c:crossBetween val="between"/>
      </c:valAx>
    </c:plotArea>
    <c:legend>
      <c:legendPos val="b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Udvikling i vindkapacitet</a:t>
            </a:r>
            <a:r>
              <a:rPr lang="da-DK" baseline="0"/>
              <a:t> i Danmark</a:t>
            </a:r>
            <a:endParaRPr lang="da-DK"/>
          </a:p>
        </c:rich>
      </c:tx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Vindkapacitet!$B$66</c:f>
              <c:strCache>
                <c:ptCount val="1"/>
                <c:pt idx="0">
                  <c:v>Landvind</c:v>
                </c:pt>
              </c:strCache>
            </c:strRef>
          </c:tx>
          <c:cat>
            <c:numRef>
              <c:f>Vindkapacitet!$C$44:$AA$44</c:f>
              <c:numCache>
                <c:formatCode>General</c:formatCode>
                <c:ptCount val="2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</c:numCache>
            </c:numRef>
          </c:cat>
          <c:val>
            <c:numRef>
              <c:f>Vindkapacitet!$C$66:$AA$66</c:f>
              <c:numCache>
                <c:formatCode>#,##0</c:formatCode>
                <c:ptCount val="25"/>
                <c:pt idx="0">
                  <c:v>3809.1300000000006</c:v>
                </c:pt>
                <c:pt idx="1">
                  <c:v>3951.4791000000005</c:v>
                </c:pt>
                <c:pt idx="2">
                  <c:v>4095.8402000000006</c:v>
                </c:pt>
                <c:pt idx="3">
                  <c:v>4220.8401999999996</c:v>
                </c:pt>
                <c:pt idx="4">
                  <c:v>4345.8402000000006</c:v>
                </c:pt>
                <c:pt idx="5">
                  <c:v>4470.8402000000006</c:v>
                </c:pt>
                <c:pt idx="6">
                  <c:v>4595.8401999999996</c:v>
                </c:pt>
                <c:pt idx="7">
                  <c:v>4720.8401999999996</c:v>
                </c:pt>
                <c:pt idx="8">
                  <c:v>4845.8401999999996</c:v>
                </c:pt>
                <c:pt idx="9">
                  <c:v>4970.8402000000006</c:v>
                </c:pt>
                <c:pt idx="10">
                  <c:v>5095.8402000000006</c:v>
                </c:pt>
                <c:pt idx="11">
                  <c:v>5220.8402000000006</c:v>
                </c:pt>
                <c:pt idx="12">
                  <c:v>5345.8402000000006</c:v>
                </c:pt>
                <c:pt idx="13">
                  <c:v>5470.8401999999996</c:v>
                </c:pt>
                <c:pt idx="14">
                  <c:v>5595.8401999999996</c:v>
                </c:pt>
                <c:pt idx="15">
                  <c:v>5720.8401999999996</c:v>
                </c:pt>
                <c:pt idx="16">
                  <c:v>5845.8401999999996</c:v>
                </c:pt>
                <c:pt idx="17">
                  <c:v>5970.8401999999987</c:v>
                </c:pt>
                <c:pt idx="18">
                  <c:v>6095.8401999999987</c:v>
                </c:pt>
                <c:pt idx="19">
                  <c:v>6220.8401999999987</c:v>
                </c:pt>
                <c:pt idx="20">
                  <c:v>6345.8401999999987</c:v>
                </c:pt>
                <c:pt idx="21">
                  <c:v>6470.8401999999987</c:v>
                </c:pt>
                <c:pt idx="22">
                  <c:v>6595.8401999999996</c:v>
                </c:pt>
                <c:pt idx="23">
                  <c:v>6720.8401999999996</c:v>
                </c:pt>
                <c:pt idx="24">
                  <c:v>6845.8401999999996</c:v>
                </c:pt>
              </c:numCache>
            </c:numRef>
          </c:val>
        </c:ser>
        <c:ser>
          <c:idx val="1"/>
          <c:order val="1"/>
          <c:tx>
            <c:strRef>
              <c:f>Vindkapacitet!$B$67</c:f>
              <c:strCache>
                <c:ptCount val="1"/>
                <c:pt idx="0">
                  <c:v>Kystvind</c:v>
                </c:pt>
              </c:strCache>
            </c:strRef>
          </c:tx>
          <c:cat>
            <c:numRef>
              <c:f>Vindkapacitet!$C$44:$AA$44</c:f>
              <c:numCache>
                <c:formatCode>General</c:formatCode>
                <c:ptCount val="2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</c:numCache>
            </c:numRef>
          </c:cat>
          <c:val>
            <c:numRef>
              <c:f>Vindkapacitet!$C$67:$AA$67</c:f>
              <c:numCache>
                <c:formatCode>#,##0</c:formatCode>
                <c:ptCount val="25"/>
                <c:pt idx="0">
                  <c:v>129.55000000000001</c:v>
                </c:pt>
                <c:pt idx="1">
                  <c:v>124.6</c:v>
                </c:pt>
                <c:pt idx="2">
                  <c:v>124.6</c:v>
                </c:pt>
                <c:pt idx="3">
                  <c:v>124.6</c:v>
                </c:pt>
                <c:pt idx="4">
                  <c:v>524.6</c:v>
                </c:pt>
                <c:pt idx="5">
                  <c:v>569.6</c:v>
                </c:pt>
                <c:pt idx="6">
                  <c:v>569.6</c:v>
                </c:pt>
                <c:pt idx="7">
                  <c:v>569.6</c:v>
                </c:pt>
                <c:pt idx="8">
                  <c:v>569.6</c:v>
                </c:pt>
                <c:pt idx="9">
                  <c:v>569.6</c:v>
                </c:pt>
                <c:pt idx="10">
                  <c:v>529.6</c:v>
                </c:pt>
                <c:pt idx="11">
                  <c:v>529.6</c:v>
                </c:pt>
                <c:pt idx="12">
                  <c:v>529.6</c:v>
                </c:pt>
                <c:pt idx="13">
                  <c:v>481.8</c:v>
                </c:pt>
                <c:pt idx="14">
                  <c:v>481.8</c:v>
                </c:pt>
                <c:pt idx="15">
                  <c:v>481.8</c:v>
                </c:pt>
                <c:pt idx="16">
                  <c:v>481.8</c:v>
                </c:pt>
                <c:pt idx="17">
                  <c:v>481.8</c:v>
                </c:pt>
                <c:pt idx="18">
                  <c:v>481.8</c:v>
                </c:pt>
                <c:pt idx="19">
                  <c:v>453.6</c:v>
                </c:pt>
                <c:pt idx="20">
                  <c:v>453.6</c:v>
                </c:pt>
                <c:pt idx="21">
                  <c:v>450</c:v>
                </c:pt>
                <c:pt idx="22">
                  <c:v>450</c:v>
                </c:pt>
                <c:pt idx="23">
                  <c:v>450</c:v>
                </c:pt>
                <c:pt idx="24">
                  <c:v>450</c:v>
                </c:pt>
              </c:numCache>
            </c:numRef>
          </c:val>
        </c:ser>
        <c:ser>
          <c:idx val="2"/>
          <c:order val="2"/>
          <c:tx>
            <c:strRef>
              <c:f>Vindkapacitet!$B$68</c:f>
              <c:strCache>
                <c:ptCount val="1"/>
                <c:pt idx="0">
                  <c:v>Havvind</c:v>
                </c:pt>
              </c:strCache>
            </c:strRef>
          </c:tx>
          <c:cat>
            <c:numRef>
              <c:f>Vindkapacitet!$C$44:$AA$44</c:f>
              <c:numCache>
                <c:formatCode>General</c:formatCode>
                <c:ptCount val="2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</c:numCache>
            </c:numRef>
          </c:cat>
          <c:val>
            <c:numRef>
              <c:f>Vindkapacitet!$C$68:$AA$68</c:f>
              <c:numCache>
                <c:formatCode>#,##0</c:formatCode>
                <c:ptCount val="25"/>
                <c:pt idx="0">
                  <c:v>1141.5</c:v>
                </c:pt>
                <c:pt idx="1">
                  <c:v>1141.5</c:v>
                </c:pt>
                <c:pt idx="2">
                  <c:v>1141.5</c:v>
                </c:pt>
                <c:pt idx="3">
                  <c:v>1548.2000000000003</c:v>
                </c:pt>
                <c:pt idx="4">
                  <c:v>1748.2000000000003</c:v>
                </c:pt>
                <c:pt idx="5">
                  <c:v>1948.2000000000003</c:v>
                </c:pt>
                <c:pt idx="6">
                  <c:v>2148.2000000000003</c:v>
                </c:pt>
                <c:pt idx="7">
                  <c:v>2148.2000000000003</c:v>
                </c:pt>
                <c:pt idx="8">
                  <c:v>2148.2000000000003</c:v>
                </c:pt>
                <c:pt idx="9">
                  <c:v>2148.2000000000003</c:v>
                </c:pt>
                <c:pt idx="10">
                  <c:v>2148.2000000000003</c:v>
                </c:pt>
                <c:pt idx="11">
                  <c:v>2348.2000000000003</c:v>
                </c:pt>
                <c:pt idx="12">
                  <c:v>2388.2000000000003</c:v>
                </c:pt>
                <c:pt idx="13">
                  <c:v>2222.6000000000004</c:v>
                </c:pt>
                <c:pt idx="14">
                  <c:v>2422.6000000000004</c:v>
                </c:pt>
                <c:pt idx="15">
                  <c:v>2622.6000000000004</c:v>
                </c:pt>
                <c:pt idx="16">
                  <c:v>2622.6000000000004</c:v>
                </c:pt>
                <c:pt idx="17">
                  <c:v>2822.6000000000004</c:v>
                </c:pt>
                <c:pt idx="18">
                  <c:v>3022.6000000000004</c:v>
                </c:pt>
                <c:pt idx="19">
                  <c:v>2813.3</c:v>
                </c:pt>
                <c:pt idx="20">
                  <c:v>2806.3</c:v>
                </c:pt>
                <c:pt idx="21">
                  <c:v>3006.3</c:v>
                </c:pt>
                <c:pt idx="22">
                  <c:v>3006.3</c:v>
                </c:pt>
                <c:pt idx="23">
                  <c:v>2806.7</c:v>
                </c:pt>
                <c:pt idx="24">
                  <c:v>3006.7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719424"/>
        <c:axId val="121733504"/>
      </c:areaChart>
      <c:lineChart>
        <c:grouping val="standard"/>
        <c:varyColors val="0"/>
        <c:ser>
          <c:idx val="3"/>
          <c:order val="3"/>
          <c:tx>
            <c:strRef>
              <c:f>Vindkapacitet!$B$69</c:f>
              <c:strCache>
                <c:ptCount val="1"/>
                <c:pt idx="0">
                  <c:v>AF2015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Vindkapacitet!$C$44:$AA$44</c:f>
              <c:numCache>
                <c:formatCode>General</c:formatCode>
                <c:ptCount val="2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</c:numCache>
            </c:numRef>
          </c:cat>
          <c:val>
            <c:numRef>
              <c:f>Vindkapacitet!$C$69:$V$69</c:f>
              <c:numCache>
                <c:formatCode>#,##0</c:formatCode>
                <c:ptCount val="20"/>
                <c:pt idx="0">
                  <c:v>5041.24</c:v>
                </c:pt>
                <c:pt idx="1">
                  <c:v>5190.8895000000002</c:v>
                </c:pt>
                <c:pt idx="2">
                  <c:v>5340.8895000000002</c:v>
                </c:pt>
                <c:pt idx="3">
                  <c:v>5540.8895000000002</c:v>
                </c:pt>
                <c:pt idx="4">
                  <c:v>6340.8895000000002</c:v>
                </c:pt>
                <c:pt idx="5">
                  <c:v>6590.8895000000002</c:v>
                </c:pt>
                <c:pt idx="6">
                  <c:v>6840.8895000000002</c:v>
                </c:pt>
                <c:pt idx="7">
                  <c:v>6890.8895000000002</c:v>
                </c:pt>
                <c:pt idx="8">
                  <c:v>6940.8895000000002</c:v>
                </c:pt>
                <c:pt idx="9">
                  <c:v>6990.8895000000002</c:v>
                </c:pt>
                <c:pt idx="10">
                  <c:v>7240.8895000000002</c:v>
                </c:pt>
                <c:pt idx="11">
                  <c:v>7490.8895000000002</c:v>
                </c:pt>
                <c:pt idx="12">
                  <c:v>7540.8895000000011</c:v>
                </c:pt>
                <c:pt idx="13">
                  <c:v>7790.8895000000002</c:v>
                </c:pt>
                <c:pt idx="14">
                  <c:v>8040.8895000000002</c:v>
                </c:pt>
                <c:pt idx="15">
                  <c:v>8090.8895000000002</c:v>
                </c:pt>
                <c:pt idx="16">
                  <c:v>8097.2395000000006</c:v>
                </c:pt>
                <c:pt idx="17">
                  <c:v>8103.5895</c:v>
                </c:pt>
                <c:pt idx="18">
                  <c:v>8109.9395000000004</c:v>
                </c:pt>
                <c:pt idx="19">
                  <c:v>8116.2894999999999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719424"/>
        <c:axId val="121733504"/>
      </c:lineChart>
      <c:catAx>
        <c:axId val="121719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1733504"/>
        <c:crosses val="autoZero"/>
        <c:auto val="1"/>
        <c:lblAlgn val="ctr"/>
        <c:lblOffset val="100"/>
        <c:noMultiLvlLbl val="0"/>
      </c:catAx>
      <c:valAx>
        <c:axId val="1217335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a-DK"/>
                  <a:t>MW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crossAx val="121719424"/>
        <c:crosses val="autoZero"/>
        <c:crossBetween val="between"/>
      </c:valAx>
    </c:plotArea>
    <c:legend>
      <c:legendPos val="b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da-DK" sz="1400"/>
              <a:t>Forventet</a:t>
            </a:r>
            <a:r>
              <a:rPr lang="da-DK" sz="1400" baseline="0"/>
              <a:t> solcellekapacitet i Danmark</a:t>
            </a:r>
            <a:endParaRPr lang="da-DK" sz="1400"/>
          </a:p>
        </c:rich>
      </c:tx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Solceller!$B$8</c:f>
              <c:strCache>
                <c:ptCount val="1"/>
                <c:pt idx="0">
                  <c:v>Husstandsanlæg uden batteri</c:v>
                </c:pt>
              </c:strCache>
            </c:strRef>
          </c:tx>
          <c:cat>
            <c:numRef>
              <c:f>Solceller!$C$7:$AA$7</c:f>
              <c:numCache>
                <c:formatCode>General</c:formatCode>
                <c:ptCount val="2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</c:numCache>
            </c:numRef>
          </c:cat>
          <c:val>
            <c:numRef>
              <c:f>Solceller!$C$8:$AA$8</c:f>
              <c:numCache>
                <c:formatCode>#,##0</c:formatCode>
                <c:ptCount val="25"/>
                <c:pt idx="0">
                  <c:v>456.95604268240481</c:v>
                </c:pt>
                <c:pt idx="1">
                  <c:v>458.54235904224879</c:v>
                </c:pt>
                <c:pt idx="2">
                  <c:v>458.80356051312202</c:v>
                </c:pt>
                <c:pt idx="3">
                  <c:v>462.51631230059252</c:v>
                </c:pt>
                <c:pt idx="4">
                  <c:v>466.37401648854592</c:v>
                </c:pt>
                <c:pt idx="5">
                  <c:v>468.38547018580198</c:v>
                </c:pt>
                <c:pt idx="6">
                  <c:v>471.48843256925664</c:v>
                </c:pt>
                <c:pt idx="7">
                  <c:v>476.25937220858884</c:v>
                </c:pt>
                <c:pt idx="8">
                  <c:v>483.5450232951037</c:v>
                </c:pt>
                <c:pt idx="9">
                  <c:v>494.82237273788633</c:v>
                </c:pt>
                <c:pt idx="10">
                  <c:v>511.49742915000638</c:v>
                </c:pt>
                <c:pt idx="11">
                  <c:v>534.2442366659435</c:v>
                </c:pt>
                <c:pt idx="12">
                  <c:v>565.9352932070351</c:v>
                </c:pt>
                <c:pt idx="13">
                  <c:v>606.24532937417848</c:v>
                </c:pt>
                <c:pt idx="14">
                  <c:v>657.50126227642647</c:v>
                </c:pt>
                <c:pt idx="15">
                  <c:v>722.88156934705239</c:v>
                </c:pt>
                <c:pt idx="16">
                  <c:v>796.22860158286153</c:v>
                </c:pt>
                <c:pt idx="17">
                  <c:v>877.75100049061734</c:v>
                </c:pt>
                <c:pt idx="18">
                  <c:v>967.96840500058352</c:v>
                </c:pt>
                <c:pt idx="19">
                  <c:v>1067.0499972210953</c:v>
                </c:pt>
                <c:pt idx="20">
                  <c:v>1174.691905971699</c:v>
                </c:pt>
                <c:pt idx="21">
                  <c:v>1291.3972876513217</c:v>
                </c:pt>
                <c:pt idx="22">
                  <c:v>1416.9610536955588</c:v>
                </c:pt>
                <c:pt idx="23">
                  <c:v>1549.1309221784156</c:v>
                </c:pt>
                <c:pt idx="24">
                  <c:v>1689.0628128791652</c:v>
                </c:pt>
              </c:numCache>
            </c:numRef>
          </c:val>
        </c:ser>
        <c:ser>
          <c:idx val="1"/>
          <c:order val="1"/>
          <c:tx>
            <c:strRef>
              <c:f>Solceller!$B$9</c:f>
              <c:strCache>
                <c:ptCount val="1"/>
                <c:pt idx="0">
                  <c:v>Husstandsanlæg med batteri</c:v>
                </c:pt>
              </c:strCache>
            </c:strRef>
          </c:tx>
          <c:spPr>
            <a:ln w="25400">
              <a:noFill/>
            </a:ln>
          </c:spPr>
          <c:cat>
            <c:numRef>
              <c:f>Solceller!$C$7:$AA$7</c:f>
              <c:numCache>
                <c:formatCode>General</c:formatCode>
                <c:ptCount val="2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</c:numCache>
            </c:numRef>
          </c:cat>
          <c:val>
            <c:numRef>
              <c:f>Solceller!$C$9:$AA$9</c:f>
              <c:numCache>
                <c:formatCode>#,##0</c:formatCode>
                <c:ptCount val="25"/>
                <c:pt idx="0">
                  <c:v>1.3319573169889942</c:v>
                </c:pt>
                <c:pt idx="1">
                  <c:v>4.0498507643307606</c:v>
                </c:pt>
                <c:pt idx="2">
                  <c:v>8.3889290976236044</c:v>
                </c:pt>
                <c:pt idx="3">
                  <c:v>16.673683199152421</c:v>
                </c:pt>
                <c:pt idx="4">
                  <c:v>32.831079142365347</c:v>
                </c:pt>
                <c:pt idx="5">
                  <c:v>64.270476120141268</c:v>
                </c:pt>
                <c:pt idx="6">
                  <c:v>102.08612655549861</c:v>
                </c:pt>
                <c:pt idx="7">
                  <c:v>144.23758425805778</c:v>
                </c:pt>
                <c:pt idx="8">
                  <c:v>193.51754440936838</c:v>
                </c:pt>
                <c:pt idx="9">
                  <c:v>248.09004389697483</c:v>
                </c:pt>
                <c:pt idx="10">
                  <c:v>308.94225022057708</c:v>
                </c:pt>
                <c:pt idx="11">
                  <c:v>377.48858323443255</c:v>
                </c:pt>
                <c:pt idx="12">
                  <c:v>451.26601459318414</c:v>
                </c:pt>
                <c:pt idx="13">
                  <c:v>528.43737667607445</c:v>
                </c:pt>
                <c:pt idx="14">
                  <c:v>606.41809623158701</c:v>
                </c:pt>
                <c:pt idx="15">
                  <c:v>684.48702811877092</c:v>
                </c:pt>
                <c:pt idx="16">
                  <c:v>754.33210993396676</c:v>
                </c:pt>
                <c:pt idx="17">
                  <c:v>815.65064800682478</c:v>
                </c:pt>
                <c:pt idx="18">
                  <c:v>869.41965037192404</c:v>
                </c:pt>
                <c:pt idx="19">
                  <c:v>914.88136974678889</c:v>
                </c:pt>
                <c:pt idx="20">
                  <c:v>952.47139671650007</c:v>
                </c:pt>
                <c:pt idx="21">
                  <c:v>982.39647252531404</c:v>
                </c:pt>
                <c:pt idx="22">
                  <c:v>1004.5648865785483</c:v>
                </c:pt>
                <c:pt idx="23">
                  <c:v>1020.0338712234694</c:v>
                </c:pt>
                <c:pt idx="24">
                  <c:v>1027.423200437365</c:v>
                </c:pt>
              </c:numCache>
            </c:numRef>
          </c:val>
        </c:ser>
        <c:ser>
          <c:idx val="2"/>
          <c:order val="2"/>
          <c:tx>
            <c:strRef>
              <c:f>Solceller!$B$10</c:f>
              <c:strCache>
                <c:ptCount val="1"/>
                <c:pt idx="0">
                  <c:v>Kommercielle anlæg uden batteri</c:v>
                </c:pt>
              </c:strCache>
            </c:strRef>
          </c:tx>
          <c:spPr>
            <a:ln w="25400">
              <a:noFill/>
            </a:ln>
          </c:spPr>
          <c:cat>
            <c:numRef>
              <c:f>Solceller!$C$7:$AA$7</c:f>
              <c:numCache>
                <c:formatCode>General</c:formatCode>
                <c:ptCount val="2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</c:numCache>
            </c:numRef>
          </c:cat>
          <c:val>
            <c:numRef>
              <c:f>Solceller!$C$10:$AA$10</c:f>
              <c:numCache>
                <c:formatCode>#,##0</c:formatCode>
                <c:ptCount val="25"/>
                <c:pt idx="0">
                  <c:v>128.29619946825125</c:v>
                </c:pt>
                <c:pt idx="1">
                  <c:v>153.75747518403512</c:v>
                </c:pt>
                <c:pt idx="2">
                  <c:v>186.04071639284939</c:v>
                </c:pt>
                <c:pt idx="3">
                  <c:v>226.12668889357917</c:v>
                </c:pt>
                <c:pt idx="4">
                  <c:v>279.37725383358753</c:v>
                </c:pt>
                <c:pt idx="5">
                  <c:v>339.04827619803018</c:v>
                </c:pt>
                <c:pt idx="6">
                  <c:v>397.78794770690575</c:v>
                </c:pt>
                <c:pt idx="7">
                  <c:v>455.93564946331509</c:v>
                </c:pt>
                <c:pt idx="8">
                  <c:v>510.16858168154545</c:v>
                </c:pt>
                <c:pt idx="9">
                  <c:v>562.88029850011571</c:v>
                </c:pt>
                <c:pt idx="10">
                  <c:v>611.05026356234657</c:v>
                </c:pt>
                <c:pt idx="11">
                  <c:v>656.91577640975731</c:v>
                </c:pt>
                <c:pt idx="12">
                  <c:v>698.8790349564033</c:v>
                </c:pt>
                <c:pt idx="13">
                  <c:v>738.05390374504702</c:v>
                </c:pt>
                <c:pt idx="14">
                  <c:v>773.80165974331999</c:v>
                </c:pt>
                <c:pt idx="15">
                  <c:v>806.02759328503328</c:v>
                </c:pt>
                <c:pt idx="16">
                  <c:v>834.59583293278422</c:v>
                </c:pt>
                <c:pt idx="17">
                  <c:v>858.66753178524084</c:v>
                </c:pt>
                <c:pt idx="18">
                  <c:v>879.28315986712278</c:v>
                </c:pt>
                <c:pt idx="19">
                  <c:v>896.13951357399537</c:v>
                </c:pt>
                <c:pt idx="20">
                  <c:v>910.04828712538244</c:v>
                </c:pt>
                <c:pt idx="21">
                  <c:v>920.67504112164909</c:v>
                </c:pt>
                <c:pt idx="22">
                  <c:v>928.66915956223147</c:v>
                </c:pt>
                <c:pt idx="23">
                  <c:v>934.31701646886108</c:v>
                </c:pt>
                <c:pt idx="24">
                  <c:v>938.29175510870698</c:v>
                </c:pt>
              </c:numCache>
            </c:numRef>
          </c:val>
        </c:ser>
        <c:ser>
          <c:idx val="3"/>
          <c:order val="3"/>
          <c:tx>
            <c:strRef>
              <c:f>Solceller!$B$11</c:f>
              <c:strCache>
                <c:ptCount val="1"/>
                <c:pt idx="0">
                  <c:v>Kommercielle anlæg med batteri</c:v>
                </c:pt>
              </c:strCache>
            </c:strRef>
          </c:tx>
          <c:spPr>
            <a:ln w="25400">
              <a:noFill/>
            </a:ln>
          </c:spPr>
          <c:cat>
            <c:numRef>
              <c:f>Solceller!$C$7:$AA$7</c:f>
              <c:numCache>
                <c:formatCode>General</c:formatCode>
                <c:ptCount val="2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</c:numCache>
            </c:numRef>
          </c:cat>
          <c:val>
            <c:numRef>
              <c:f>Solceller!$C$11:$AA$11</c:f>
              <c:numCache>
                <c:formatCode>#,##0</c:formatCode>
                <c:ptCount val="25"/>
                <c:pt idx="0">
                  <c:v>1.2073565317499999</c:v>
                </c:pt>
                <c:pt idx="1">
                  <c:v>3.1220731446248622</c:v>
                </c:pt>
                <c:pt idx="2">
                  <c:v>5.9234315485469988</c:v>
                </c:pt>
                <c:pt idx="3">
                  <c:v>9.8787313676250488</c:v>
                </c:pt>
                <c:pt idx="4">
                  <c:v>15.132061345694146</c:v>
                </c:pt>
                <c:pt idx="5">
                  <c:v>24.106025897201405</c:v>
                </c:pt>
                <c:pt idx="6">
                  <c:v>32.934410983525794</c:v>
                </c:pt>
                <c:pt idx="7">
                  <c:v>41.668515441882647</c:v>
                </c:pt>
                <c:pt idx="8">
                  <c:v>52.087365152068784</c:v>
                </c:pt>
                <c:pt idx="9">
                  <c:v>62.180741274732341</c:v>
                </c:pt>
                <c:pt idx="10">
                  <c:v>73.56274100478285</c:v>
                </c:pt>
                <c:pt idx="11">
                  <c:v>84.360534198135696</c:v>
                </c:pt>
                <c:pt idx="12">
                  <c:v>96.042096017192307</c:v>
                </c:pt>
                <c:pt idx="13">
                  <c:v>106.7979939267548</c:v>
                </c:pt>
                <c:pt idx="14">
                  <c:v>118.1857960850479</c:v>
                </c:pt>
                <c:pt idx="15">
                  <c:v>129.74856275557636</c:v>
                </c:pt>
                <c:pt idx="16">
                  <c:v>139.7596639859527</c:v>
                </c:pt>
                <c:pt idx="17">
                  <c:v>149.21184966322355</c:v>
                </c:pt>
                <c:pt idx="18">
                  <c:v>157.03239456602233</c:v>
                </c:pt>
                <c:pt idx="19">
                  <c:v>163.96137311913188</c:v>
                </c:pt>
                <c:pt idx="20">
                  <c:v>169.35916849519035</c:v>
                </c:pt>
                <c:pt idx="21">
                  <c:v>173.82843366951448</c:v>
                </c:pt>
                <c:pt idx="22">
                  <c:v>176.80642529937427</c:v>
                </c:pt>
                <c:pt idx="23">
                  <c:v>178.64138337823772</c:v>
                </c:pt>
                <c:pt idx="24">
                  <c:v>178.76606365643772</c:v>
                </c:pt>
              </c:numCache>
            </c:numRef>
          </c:val>
        </c:ser>
        <c:ser>
          <c:idx val="4"/>
          <c:order val="4"/>
          <c:tx>
            <c:strRef>
              <c:f>Solceller!$B$12</c:f>
              <c:strCache>
                <c:ptCount val="1"/>
                <c:pt idx="0">
                  <c:v>Markanlæg</c:v>
                </c:pt>
              </c:strCache>
            </c:strRef>
          </c:tx>
          <c:spPr>
            <a:ln w="25400">
              <a:noFill/>
            </a:ln>
          </c:spPr>
          <c:cat>
            <c:numRef>
              <c:f>Solceller!$C$7:$AA$7</c:f>
              <c:numCache>
                <c:formatCode>General</c:formatCode>
                <c:ptCount val="2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</c:numCache>
            </c:numRef>
          </c:cat>
          <c:val>
            <c:numRef>
              <c:f>Solceller!$C$12:$AA$12</c:f>
              <c:numCache>
                <c:formatCode>#,##0</c:formatCode>
                <c:ptCount val="25"/>
                <c:pt idx="0">
                  <c:v>195.82350000000164</c:v>
                </c:pt>
                <c:pt idx="1">
                  <c:v>208.32350000000164</c:v>
                </c:pt>
                <c:pt idx="2">
                  <c:v>228.32350000000164</c:v>
                </c:pt>
                <c:pt idx="3">
                  <c:v>255.82350000000164</c:v>
                </c:pt>
                <c:pt idx="4">
                  <c:v>289.32350000000167</c:v>
                </c:pt>
                <c:pt idx="5">
                  <c:v>329.72350000000165</c:v>
                </c:pt>
                <c:pt idx="6">
                  <c:v>372.67350000000164</c:v>
                </c:pt>
                <c:pt idx="7">
                  <c:v>417.04850000000164</c:v>
                </c:pt>
                <c:pt idx="8">
                  <c:v>464.34850000000165</c:v>
                </c:pt>
                <c:pt idx="9">
                  <c:v>513.22350000000165</c:v>
                </c:pt>
                <c:pt idx="10">
                  <c:v>564.72350000000165</c:v>
                </c:pt>
                <c:pt idx="11">
                  <c:v>617.08064285714454</c:v>
                </c:pt>
                <c:pt idx="12">
                  <c:v>671.08064285714454</c:v>
                </c:pt>
                <c:pt idx="13">
                  <c:v>726.08064285714454</c:v>
                </c:pt>
                <c:pt idx="14">
                  <c:v>782.86635714285876</c:v>
                </c:pt>
                <c:pt idx="15">
                  <c:v>841.11635714285887</c:v>
                </c:pt>
                <c:pt idx="16">
                  <c:v>900.54492857143032</c:v>
                </c:pt>
                <c:pt idx="17">
                  <c:v>960.04492857143032</c:v>
                </c:pt>
                <c:pt idx="18">
                  <c:v>1020.1163571428589</c:v>
                </c:pt>
                <c:pt idx="19">
                  <c:v>1081.0092142857161</c:v>
                </c:pt>
                <c:pt idx="20">
                  <c:v>1142.5806428571445</c:v>
                </c:pt>
                <c:pt idx="21">
                  <c:v>1205.0092142857161</c:v>
                </c:pt>
                <c:pt idx="22">
                  <c:v>1268.2949285714303</c:v>
                </c:pt>
                <c:pt idx="23">
                  <c:v>1332.4377857142874</c:v>
                </c:pt>
                <c:pt idx="24">
                  <c:v>1397.4377857142874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801536"/>
        <c:axId val="118803072"/>
      </c:areaChart>
      <c:catAx>
        <c:axId val="11880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803072"/>
        <c:crosses val="autoZero"/>
        <c:auto val="1"/>
        <c:lblAlgn val="ctr"/>
        <c:lblOffset val="100"/>
        <c:noMultiLvlLbl val="0"/>
      </c:catAx>
      <c:valAx>
        <c:axId val="1188030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a-DK"/>
                  <a:t>MW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18801536"/>
        <c:crosses val="autoZero"/>
        <c:crossBetween val="midCat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da-DK" sz="1400"/>
              <a:t>Elproduktion fra solceller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Solceller!$B$27</c:f>
              <c:strCache>
                <c:ptCount val="1"/>
                <c:pt idx="0">
                  <c:v>Husstandsanlæg uden batteri</c:v>
                </c:pt>
              </c:strCache>
            </c:strRef>
          </c:tx>
          <c:invertIfNegative val="0"/>
          <c:cat>
            <c:numRef>
              <c:f>Solceller!$C$26:$AA$26</c:f>
              <c:numCache>
                <c:formatCode>General</c:formatCode>
                <c:ptCount val="2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</c:numCache>
            </c:numRef>
          </c:cat>
          <c:val>
            <c:numRef>
              <c:f>Solceller!$C$27:$AA$27</c:f>
              <c:numCache>
                <c:formatCode>#,##0</c:formatCode>
                <c:ptCount val="25"/>
                <c:pt idx="0">
                  <c:v>369.79480442682956</c:v>
                </c:pt>
                <c:pt idx="1">
                  <c:v>377.90751697835333</c:v>
                </c:pt>
                <c:pt idx="2">
                  <c:v>384.17939304540539</c:v>
                </c:pt>
                <c:pt idx="3">
                  <c:v>393.98447255004947</c:v>
                </c:pt>
                <c:pt idx="4">
                  <c:v>409.02462068585754</c:v>
                </c:pt>
                <c:pt idx="5">
                  <c:v>425.51805686547561</c:v>
                </c:pt>
                <c:pt idx="6">
                  <c:v>444.34523616307638</c:v>
                </c:pt>
                <c:pt idx="7">
                  <c:v>464.93399641174585</c:v>
                </c:pt>
                <c:pt idx="8">
                  <c:v>488.91392428730217</c:v>
                </c:pt>
                <c:pt idx="9">
                  <c:v>517.02342319404011</c:v>
                </c:pt>
                <c:pt idx="10">
                  <c:v>551.42118490847304</c:v>
                </c:pt>
                <c:pt idx="11">
                  <c:v>593.28213999067509</c:v>
                </c:pt>
                <c:pt idx="12">
                  <c:v>645.81451761727521</c:v>
                </c:pt>
                <c:pt idx="13">
                  <c:v>708.89559660522775</c:v>
                </c:pt>
                <c:pt idx="14">
                  <c:v>785.42194124196067</c:v>
                </c:pt>
                <c:pt idx="15">
                  <c:v>879.74931627212322</c:v>
                </c:pt>
                <c:pt idx="16">
                  <c:v>983.77916265294175</c:v>
                </c:pt>
                <c:pt idx="17">
                  <c:v>1098.1658161858993</c:v>
                </c:pt>
                <c:pt idx="18">
                  <c:v>1224.0194034681078</c:v>
                </c:pt>
                <c:pt idx="19">
                  <c:v>1361.8357562200638</c:v>
                </c:pt>
                <c:pt idx="20">
                  <c:v>1511.4988844125344</c:v>
                </c:pt>
                <c:pt idx="21">
                  <c:v>1673.6540096491162</c:v>
                </c:pt>
                <c:pt idx="22">
                  <c:v>1848.3537258056931</c:v>
                </c:pt>
                <c:pt idx="23">
                  <c:v>2032.4642427166557</c:v>
                </c:pt>
                <c:pt idx="24">
                  <c:v>2227.6901928776097</c:v>
                </c:pt>
              </c:numCache>
            </c:numRef>
          </c:val>
        </c:ser>
        <c:ser>
          <c:idx val="1"/>
          <c:order val="1"/>
          <c:tx>
            <c:strRef>
              <c:f>Solceller!$B$28</c:f>
              <c:strCache>
                <c:ptCount val="1"/>
                <c:pt idx="0">
                  <c:v>Husstandsanlæg med batteri</c:v>
                </c:pt>
              </c:strCache>
            </c:strRef>
          </c:tx>
          <c:spPr>
            <a:ln w="25400">
              <a:noFill/>
            </a:ln>
          </c:spPr>
          <c:invertIfNegative val="0"/>
          <c:cat>
            <c:numRef>
              <c:f>Solceller!$C$26:$AA$26</c:f>
              <c:numCache>
                <c:formatCode>General</c:formatCode>
                <c:ptCount val="2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</c:numCache>
            </c:numRef>
          </c:cat>
          <c:val>
            <c:numRef>
              <c:f>Solceller!$C$28:$AA$28</c:f>
              <c:numCache>
                <c:formatCode>#,##0</c:formatCode>
                <c:ptCount val="25"/>
                <c:pt idx="0">
                  <c:v>1.0778955731704027</c:v>
                </c:pt>
                <c:pt idx="1">
                  <c:v>3.3376830216466677</c:v>
                </c:pt>
                <c:pt idx="2">
                  <c:v>7.0244740154622258</c:v>
                </c:pt>
                <c:pt idx="3">
                  <c:v>14.203114800446949</c:v>
                </c:pt>
                <c:pt idx="4">
                  <c:v>28.793884775189149</c:v>
                </c:pt>
                <c:pt idx="5">
                  <c:v>58.388335790204586</c:v>
                </c:pt>
                <c:pt idx="6">
                  <c:v>96.209113267298676</c:v>
                </c:pt>
                <c:pt idx="7">
                  <c:v>140.80763633246428</c:v>
                </c:pt>
                <c:pt idx="8">
                  <c:v>195.66620996507447</c:v>
                </c:pt>
                <c:pt idx="9">
                  <c:v>259.22102722691358</c:v>
                </c:pt>
                <c:pt idx="10">
                  <c:v>333.05602721799812</c:v>
                </c:pt>
                <c:pt idx="11">
                  <c:v>419.20383808166378</c:v>
                </c:pt>
                <c:pt idx="12">
                  <c:v>514.96018543051468</c:v>
                </c:pt>
                <c:pt idx="13">
                  <c:v>617.91309764644382</c:v>
                </c:pt>
                <c:pt idx="14">
                  <c:v>724.40024935834072</c:v>
                </c:pt>
                <c:pt idx="15">
                  <c:v>833.02302966244758</c:v>
                </c:pt>
                <c:pt idx="16">
                  <c:v>932.01400954175165</c:v>
                </c:pt>
                <c:pt idx="17">
                  <c:v>1020.4712487827545</c:v>
                </c:pt>
                <c:pt idx="18">
                  <c:v>1099.4021254351289</c:v>
                </c:pt>
                <c:pt idx="19">
                  <c:v>1167.6286633854975</c:v>
                </c:pt>
                <c:pt idx="20">
                  <c:v>1225.5634402971048</c:v>
                </c:pt>
                <c:pt idx="21">
                  <c:v>1273.1882055424239</c:v>
                </c:pt>
                <c:pt idx="22">
                  <c:v>1310.4038717778153</c:v>
                </c:pt>
                <c:pt idx="23">
                  <c:v>1338.2873841974576</c:v>
                </c:pt>
                <c:pt idx="24">
                  <c:v>1355.059486300456</c:v>
                </c:pt>
              </c:numCache>
            </c:numRef>
          </c:val>
        </c:ser>
        <c:ser>
          <c:idx val="2"/>
          <c:order val="2"/>
          <c:tx>
            <c:strRef>
              <c:f>Solceller!$B$29</c:f>
              <c:strCache>
                <c:ptCount val="1"/>
                <c:pt idx="0">
                  <c:v>Kommercielle anlæg uden batteri</c:v>
                </c:pt>
              </c:strCache>
            </c:strRef>
          </c:tx>
          <c:spPr>
            <a:ln w="25400">
              <a:noFill/>
            </a:ln>
          </c:spPr>
          <c:invertIfNegative val="0"/>
          <c:cat>
            <c:numRef>
              <c:f>Solceller!$C$26:$AA$26</c:f>
              <c:numCache>
                <c:formatCode>General</c:formatCode>
                <c:ptCount val="2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</c:numCache>
            </c:numRef>
          </c:cat>
          <c:val>
            <c:numRef>
              <c:f>Solceller!$C$29:$AA$29</c:f>
              <c:numCache>
                <c:formatCode>#,##0</c:formatCode>
                <c:ptCount val="25"/>
                <c:pt idx="0">
                  <c:v>133.4123260831673</c:v>
                </c:pt>
                <c:pt idx="1">
                  <c:v>160.34298452573665</c:v>
                </c:pt>
                <c:pt idx="2">
                  <c:v>195.04155669409036</c:v>
                </c:pt>
                <c:pt idx="3">
                  <c:v>238.80627927267946</c:v>
                </c:pt>
                <c:pt idx="4">
                  <c:v>297.81360842962425</c:v>
                </c:pt>
                <c:pt idx="5">
                  <c:v>367.95277097183276</c:v>
                </c:pt>
                <c:pt idx="6">
                  <c:v>437.29135911264859</c:v>
                </c:pt>
                <c:pt idx="7">
                  <c:v>506.29565316058563</c:v>
                </c:pt>
                <c:pt idx="8">
                  <c:v>571.18866084086926</c:v>
                </c:pt>
                <c:pt idx="9">
                  <c:v>634.66248116140071</c:v>
                </c:pt>
                <c:pt idx="10">
                  <c:v>693.22344588232363</c:v>
                </c:pt>
                <c:pt idx="11">
                  <c:v>749.41620234492314</c:v>
                </c:pt>
                <c:pt idx="12">
                  <c:v>801.40179648943933</c:v>
                </c:pt>
                <c:pt idx="13">
                  <c:v>850.39089382756185</c:v>
                </c:pt>
                <c:pt idx="14">
                  <c:v>895.71811191243023</c:v>
                </c:pt>
                <c:pt idx="15">
                  <c:v>937.13081057581019</c:v>
                </c:pt>
                <c:pt idx="16">
                  <c:v>974.30412942093164</c:v>
                </c:pt>
                <c:pt idx="17">
                  <c:v>1006.2516980778843</c:v>
                </c:pt>
                <c:pt idx="18">
                  <c:v>1034.1481908422186</c:v>
                </c:pt>
                <c:pt idx="19">
                  <c:v>1057.6597682627289</c:v>
                </c:pt>
                <c:pt idx="20">
                  <c:v>1077.7319586750598</c:v>
                </c:pt>
                <c:pt idx="21">
                  <c:v>1093.9513827574015</c:v>
                </c:pt>
                <c:pt idx="22">
                  <c:v>1107.0858553774563</c:v>
                </c:pt>
                <c:pt idx="23">
                  <c:v>1117.492585706721</c:v>
                </c:pt>
                <c:pt idx="24">
                  <c:v>1125.9146031322221</c:v>
                </c:pt>
              </c:numCache>
            </c:numRef>
          </c:val>
        </c:ser>
        <c:ser>
          <c:idx val="3"/>
          <c:order val="3"/>
          <c:tx>
            <c:strRef>
              <c:f>Solceller!$B$30</c:f>
              <c:strCache>
                <c:ptCount val="1"/>
                <c:pt idx="0">
                  <c:v>Kommercielle anlæg med batteri</c:v>
                </c:pt>
              </c:strCache>
            </c:strRef>
          </c:tx>
          <c:spPr>
            <a:ln w="25400">
              <a:noFill/>
            </a:ln>
          </c:spPr>
          <c:invertIfNegative val="0"/>
          <c:cat>
            <c:numRef>
              <c:f>Solceller!$C$26:$AA$26</c:f>
              <c:numCache>
                <c:formatCode>General</c:formatCode>
                <c:ptCount val="2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</c:numCache>
            </c:numRef>
          </c:cat>
          <c:val>
            <c:numRef>
              <c:f>Solceller!$C$30:$AA$30</c:f>
              <c:numCache>
                <c:formatCode>#,##0</c:formatCode>
                <c:ptCount val="25"/>
                <c:pt idx="0">
                  <c:v>1.2555028440443676</c:v>
                </c:pt>
                <c:pt idx="1">
                  <c:v>3.2557930944015694</c:v>
                </c:pt>
                <c:pt idx="2">
                  <c:v>6.2100132304365738</c:v>
                </c:pt>
                <c:pt idx="3">
                  <c:v>10.432660971510083</c:v>
                </c:pt>
                <c:pt idx="4">
                  <c:v>16.130639593959028</c:v>
                </c:pt>
                <c:pt idx="5">
                  <c:v>26.161109342474077</c:v>
                </c:pt>
                <c:pt idx="6">
                  <c:v>36.205052022269982</c:v>
                </c:pt>
                <c:pt idx="7">
                  <c:v>46.270977640622874</c:v>
                </c:pt>
                <c:pt idx="8">
                  <c:v>58.317413922033673</c:v>
                </c:pt>
                <c:pt idx="9">
                  <c:v>70.11043670036824</c:v>
                </c:pt>
                <c:pt idx="10">
                  <c:v>83.455355228205889</c:v>
                </c:pt>
                <c:pt idx="11">
                  <c:v>96.239355845704466</c:v>
                </c:pt>
                <c:pt idx="12">
                  <c:v>110.13108769472601</c:v>
                </c:pt>
                <c:pt idx="13">
                  <c:v>123.05339901804295</c:v>
                </c:pt>
                <c:pt idx="14">
                  <c:v>136.80657929744183</c:v>
                </c:pt>
                <c:pt idx="15">
                  <c:v>150.85262191908814</c:v>
                </c:pt>
                <c:pt idx="16">
                  <c:v>163.15492166968698</c:v>
                </c:pt>
                <c:pt idx="17">
                  <c:v>174.85775523012668</c:v>
                </c:pt>
                <c:pt idx="18">
                  <c:v>184.68995444950238</c:v>
                </c:pt>
                <c:pt idx="19">
                  <c:v>193.51378359113136</c:v>
                </c:pt>
                <c:pt idx="20">
                  <c:v>200.56494909566663</c:v>
                </c:pt>
                <c:pt idx="21">
                  <c:v>206.54394534650228</c:v>
                </c:pt>
                <c:pt idx="22">
                  <c:v>210.77462363567514</c:v>
                </c:pt>
                <c:pt idx="23">
                  <c:v>213.66454630148098</c:v>
                </c:pt>
                <c:pt idx="24">
                  <c:v>214.51251225364183</c:v>
                </c:pt>
              </c:numCache>
            </c:numRef>
          </c:val>
        </c:ser>
        <c:ser>
          <c:idx val="4"/>
          <c:order val="4"/>
          <c:tx>
            <c:strRef>
              <c:f>Solceller!$B$31</c:f>
              <c:strCache>
                <c:ptCount val="1"/>
                <c:pt idx="0">
                  <c:v>Markanlæg</c:v>
                </c:pt>
              </c:strCache>
            </c:strRef>
          </c:tx>
          <c:spPr>
            <a:ln w="25400">
              <a:noFill/>
            </a:ln>
          </c:spPr>
          <c:invertIfNegative val="0"/>
          <c:cat>
            <c:numRef>
              <c:f>Solceller!$C$26:$AA$26</c:f>
              <c:numCache>
                <c:formatCode>General</c:formatCode>
                <c:ptCount val="2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</c:numCache>
            </c:numRef>
          </c:cat>
          <c:val>
            <c:numRef>
              <c:f>Solceller!$C$31:$AA$31</c:f>
              <c:numCache>
                <c:formatCode>#,##0</c:formatCode>
                <c:ptCount val="25"/>
                <c:pt idx="0">
                  <c:v>225.387</c:v>
                </c:pt>
                <c:pt idx="1">
                  <c:v>239.83699999999999</c:v>
                </c:pt>
                <c:pt idx="2">
                  <c:v>263.21699999999998</c:v>
                </c:pt>
                <c:pt idx="3">
                  <c:v>295.72199999999998</c:v>
                </c:pt>
                <c:pt idx="4">
                  <c:v>335.75450000000001</c:v>
                </c:pt>
                <c:pt idx="5">
                  <c:v>384.90530000000001</c:v>
                </c:pt>
                <c:pt idx="6">
                  <c:v>437.18833500000005</c:v>
                </c:pt>
                <c:pt idx="7">
                  <c:v>491.174735</c:v>
                </c:pt>
                <c:pt idx="8">
                  <c:v>548.78025500000001</c:v>
                </c:pt>
                <c:pt idx="9">
                  <c:v>608.387655</c:v>
                </c:pt>
                <c:pt idx="10">
                  <c:v>671.23483357142857</c:v>
                </c:pt>
                <c:pt idx="11">
                  <c:v>735.28157642857127</c:v>
                </c:pt>
                <c:pt idx="12">
                  <c:v>801.49694071428564</c:v>
                </c:pt>
                <c:pt idx="13">
                  <c:v>869.10294071428541</c:v>
                </c:pt>
                <c:pt idx="14">
                  <c:v>939.07569071428543</c:v>
                </c:pt>
                <c:pt idx="15">
                  <c:v>1010.9703335714285</c:v>
                </c:pt>
                <c:pt idx="16">
                  <c:v>1084.3951192857141</c:v>
                </c:pt>
                <c:pt idx="17">
                  <c:v>1158.0271192857142</c:v>
                </c:pt>
                <c:pt idx="18">
                  <c:v>1232.4427978571428</c:v>
                </c:pt>
                <c:pt idx="19">
                  <c:v>1307.9994407142854</c:v>
                </c:pt>
                <c:pt idx="20">
                  <c:v>1384.4780121428569</c:v>
                </c:pt>
                <c:pt idx="21">
                  <c:v>1462.1482978571428</c:v>
                </c:pt>
                <c:pt idx="22">
                  <c:v>1541.0137264285711</c:v>
                </c:pt>
                <c:pt idx="23">
                  <c:v>1621.0777264285712</c:v>
                </c:pt>
                <c:pt idx="24">
                  <c:v>1702.3437264285712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240192"/>
        <c:axId val="121758080"/>
      </c:barChart>
      <c:catAx>
        <c:axId val="121240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1758080"/>
        <c:crosses val="autoZero"/>
        <c:auto val="1"/>
        <c:lblAlgn val="ctr"/>
        <c:lblOffset val="100"/>
        <c:noMultiLvlLbl val="0"/>
      </c:catAx>
      <c:valAx>
        <c:axId val="1217580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a-DK"/>
                  <a:t>GWh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21240192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Fjernvarmeforbrug</a:t>
            </a:r>
          </a:p>
        </c:rich>
      </c:tx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Fjernvarmeforbrug!$B$14</c:f>
              <c:strCache>
                <c:ptCount val="1"/>
                <c:pt idx="0">
                  <c:v>Husholdning</c:v>
                </c:pt>
              </c:strCache>
            </c:strRef>
          </c:tx>
          <c:cat>
            <c:numRef>
              <c:f>Fjernvarmeforbrug!$C$13:$M$13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Fjernvarmeforbrug!$C$14:$M$14</c:f>
              <c:numCache>
                <c:formatCode>#,##0</c:formatCode>
                <c:ptCount val="11"/>
                <c:pt idx="0">
                  <c:v>19262.240147399203</c:v>
                </c:pt>
                <c:pt idx="1">
                  <c:v>19226.553362248</c:v>
                </c:pt>
                <c:pt idx="2">
                  <c:v>19207.635445590608</c:v>
                </c:pt>
                <c:pt idx="3">
                  <c:v>19160.417851301037</c:v>
                </c:pt>
                <c:pt idx="4">
                  <c:v>19118.337799731944</c:v>
                </c:pt>
                <c:pt idx="5">
                  <c:v>19078.847454569364</c:v>
                </c:pt>
                <c:pt idx="6">
                  <c:v>19130.96702215296</c:v>
                </c:pt>
                <c:pt idx="7">
                  <c:v>19167.570735282912</c:v>
                </c:pt>
                <c:pt idx="8">
                  <c:v>19201.359277906489</c:v>
                </c:pt>
                <c:pt idx="9">
                  <c:v>19232.838865860045</c:v>
                </c:pt>
                <c:pt idx="10">
                  <c:v>19260.207410630457</c:v>
                </c:pt>
              </c:numCache>
            </c:numRef>
          </c:val>
        </c:ser>
        <c:ser>
          <c:idx val="1"/>
          <c:order val="1"/>
          <c:tx>
            <c:strRef>
              <c:f>Fjernvarmeforbrug!$B$15</c:f>
              <c:strCache>
                <c:ptCount val="1"/>
                <c:pt idx="0">
                  <c:v>Erhverv</c:v>
                </c:pt>
              </c:strCache>
            </c:strRef>
          </c:tx>
          <c:spPr>
            <a:ln w="25400">
              <a:noFill/>
            </a:ln>
          </c:spPr>
          <c:cat>
            <c:numRef>
              <c:f>Fjernvarmeforbrug!$C$13:$M$13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Fjernvarmeforbrug!$C$15:$M$15</c:f>
              <c:numCache>
                <c:formatCode>#,##0</c:formatCode>
                <c:ptCount val="11"/>
                <c:pt idx="0">
                  <c:v>10418.198553605793</c:v>
                </c:pt>
                <c:pt idx="1">
                  <c:v>10335.470015649529</c:v>
                </c:pt>
                <c:pt idx="2">
                  <c:v>10237.673756283315</c:v>
                </c:pt>
                <c:pt idx="3">
                  <c:v>10098.059901493289</c:v>
                </c:pt>
                <c:pt idx="4">
                  <c:v>9972.8276752580077</c:v>
                </c:pt>
                <c:pt idx="5">
                  <c:v>9827.92653025238</c:v>
                </c:pt>
                <c:pt idx="6">
                  <c:v>9886.0994808539035</c:v>
                </c:pt>
                <c:pt idx="7">
                  <c:v>9913.0715024240963</c:v>
                </c:pt>
                <c:pt idx="8">
                  <c:v>9923.2417511387084</c:v>
                </c:pt>
                <c:pt idx="9">
                  <c:v>9927.4780576914873</c:v>
                </c:pt>
                <c:pt idx="10">
                  <c:v>9911.7397647362341</c:v>
                </c:pt>
              </c:numCache>
            </c:numRef>
          </c:val>
        </c:ser>
        <c:ser>
          <c:idx val="2"/>
          <c:order val="2"/>
          <c:tx>
            <c:strRef>
              <c:f>Fjernvarmeforbrug!$B$16</c:f>
              <c:strCache>
                <c:ptCount val="1"/>
                <c:pt idx="0">
                  <c:v>Tab</c:v>
                </c:pt>
              </c:strCache>
            </c:strRef>
          </c:tx>
          <c:spPr>
            <a:ln w="25400">
              <a:noFill/>
            </a:ln>
          </c:spPr>
          <c:cat>
            <c:numRef>
              <c:f>Fjernvarmeforbrug!$C$13:$M$13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Fjernvarmeforbrug!$C$16:$M$16</c:f>
              <c:numCache>
                <c:formatCode>#,##0</c:formatCode>
                <c:ptCount val="11"/>
                <c:pt idx="0">
                  <c:v>7458.9174543845375</c:v>
                </c:pt>
                <c:pt idx="1">
                  <c:v>7429.3136236076716</c:v>
                </c:pt>
                <c:pt idx="2">
                  <c:v>7400.1350796017659</c:v>
                </c:pt>
                <c:pt idx="3">
                  <c:v>7353.4272173318741</c:v>
                </c:pt>
                <c:pt idx="4">
                  <c:v>7311.5991478807755</c:v>
                </c:pt>
                <c:pt idx="5">
                  <c:v>7265.5012753387236</c:v>
                </c:pt>
                <c:pt idx="6">
                  <c:v>7293.0744048850047</c:v>
                </c:pt>
                <c:pt idx="7">
                  <c:v>7308.968338560042</c:v>
                </c:pt>
                <c:pt idx="8">
                  <c:v>7319.9580363945906</c:v>
                </c:pt>
                <c:pt idx="9">
                  <c:v>7328.8870100211725</c:v>
                </c:pt>
                <c:pt idx="10">
                  <c:v>7331.7945729749645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148672"/>
        <c:axId val="133150208"/>
      </c:areaChart>
      <c:catAx>
        <c:axId val="133148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3150208"/>
        <c:crosses val="autoZero"/>
        <c:auto val="1"/>
        <c:lblAlgn val="ctr"/>
        <c:lblOffset val="100"/>
        <c:noMultiLvlLbl val="0"/>
      </c:catAx>
      <c:valAx>
        <c:axId val="1331502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a-DK"/>
                  <a:t>GWh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crossAx val="133148672"/>
        <c:crosses val="autoZero"/>
        <c:crossBetween val="midCat"/>
      </c:valAx>
    </c:plotArea>
    <c:legend>
      <c:legendPos val="b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Fremskrivning af priser på fast biomasse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Brændselspriser!$I$6</c:f>
              <c:strCache>
                <c:ptCount val="1"/>
                <c:pt idx="0">
                  <c:v>Halm</c:v>
                </c:pt>
              </c:strCache>
            </c:strRef>
          </c:tx>
          <c:marker>
            <c:symbol val="none"/>
          </c:marker>
          <c:cat>
            <c:numRef>
              <c:f>Brændselspriser!$B$7:$B$31</c:f>
              <c:numCache>
                <c:formatCode>General</c:formatCode>
                <c:ptCount val="2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</c:numCache>
            </c:numRef>
          </c:cat>
          <c:val>
            <c:numRef>
              <c:f>Brændselspriser!$I$7:$I$31</c:f>
              <c:numCache>
                <c:formatCode>0.0</c:formatCode>
                <c:ptCount val="25"/>
                <c:pt idx="0">
                  <c:v>41.735387286487004</c:v>
                </c:pt>
                <c:pt idx="1">
                  <c:v>42.038070583469761</c:v>
                </c:pt>
                <c:pt idx="2">
                  <c:v>42.34075388045251</c:v>
                </c:pt>
                <c:pt idx="3">
                  <c:v>42.643437177435253</c:v>
                </c:pt>
                <c:pt idx="4">
                  <c:v>42.946120474417995</c:v>
                </c:pt>
                <c:pt idx="5">
                  <c:v>43.506369462889339</c:v>
                </c:pt>
                <c:pt idx="6">
                  <c:v>44.066618451360675</c:v>
                </c:pt>
                <c:pt idx="7">
                  <c:v>44.626867439832012</c:v>
                </c:pt>
                <c:pt idx="8">
                  <c:v>45.187116428303348</c:v>
                </c:pt>
                <c:pt idx="9">
                  <c:v>45.747365416774691</c:v>
                </c:pt>
                <c:pt idx="10">
                  <c:v>46.438810733436924</c:v>
                </c:pt>
                <c:pt idx="11">
                  <c:v>47.130256050099156</c:v>
                </c:pt>
                <c:pt idx="12">
                  <c:v>47.821701366761395</c:v>
                </c:pt>
                <c:pt idx="13">
                  <c:v>48.513146683423628</c:v>
                </c:pt>
                <c:pt idx="14">
                  <c:v>49.204592000085853</c:v>
                </c:pt>
                <c:pt idx="15">
                  <c:v>49.616853632897403</c:v>
                </c:pt>
                <c:pt idx="16">
                  <c:v>50.029115265708946</c:v>
                </c:pt>
                <c:pt idx="17">
                  <c:v>50.441376898520495</c:v>
                </c:pt>
                <c:pt idx="18">
                  <c:v>50.853638531332045</c:v>
                </c:pt>
                <c:pt idx="19">
                  <c:v>51.265900164143588</c:v>
                </c:pt>
                <c:pt idx="20">
                  <c:v>51.651546059457949</c:v>
                </c:pt>
                <c:pt idx="21">
                  <c:v>52.037191954772311</c:v>
                </c:pt>
                <c:pt idx="22">
                  <c:v>52.422837850086673</c:v>
                </c:pt>
                <c:pt idx="23">
                  <c:v>52.808483745401027</c:v>
                </c:pt>
                <c:pt idx="24">
                  <c:v>53.194129640715381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Brændselspriser!$J$6</c:f>
              <c:strCache>
                <c:ptCount val="1"/>
                <c:pt idx="0">
                  <c:v>Halm, dec.</c:v>
                </c:pt>
              </c:strCache>
            </c:strRef>
          </c:tx>
          <c:spPr>
            <a:ln>
              <a:solidFill>
                <a:schemeClr val="accent1"/>
              </a:solidFill>
              <a:prstDash val="dash"/>
            </a:ln>
          </c:spPr>
          <c:marker>
            <c:symbol val="none"/>
          </c:marker>
          <c:cat>
            <c:numRef>
              <c:f>Brændselspriser!$B$7:$B$31</c:f>
              <c:numCache>
                <c:formatCode>General</c:formatCode>
                <c:ptCount val="2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</c:numCache>
            </c:numRef>
          </c:cat>
          <c:val>
            <c:numRef>
              <c:f>Brændselspriser!$J$7:$J$31</c:f>
              <c:numCache>
                <c:formatCode>0.0</c:formatCode>
                <c:ptCount val="25"/>
                <c:pt idx="0">
                  <c:v>40.065971795027522</c:v>
                </c:pt>
                <c:pt idx="1">
                  <c:v>40.356547760130972</c:v>
                </c:pt>
                <c:pt idx="2">
                  <c:v>40.647123725234408</c:v>
                </c:pt>
                <c:pt idx="3">
                  <c:v>40.937699690337844</c:v>
                </c:pt>
                <c:pt idx="4">
                  <c:v>41.228275655441273</c:v>
                </c:pt>
                <c:pt idx="5">
                  <c:v>41.766114684373761</c:v>
                </c:pt>
                <c:pt idx="6">
                  <c:v>42.30395371330625</c:v>
                </c:pt>
                <c:pt idx="7">
                  <c:v>42.841792742238731</c:v>
                </c:pt>
                <c:pt idx="8">
                  <c:v>43.379631771171212</c:v>
                </c:pt>
                <c:pt idx="9">
                  <c:v>43.886088946925391</c:v>
                </c:pt>
                <c:pt idx="10">
                  <c:v>44.206270692555286</c:v>
                </c:pt>
                <c:pt idx="11">
                  <c:v>44.526452438185188</c:v>
                </c:pt>
                <c:pt idx="12">
                  <c:v>44.846634183815091</c:v>
                </c:pt>
                <c:pt idx="13">
                  <c:v>45.166815929444986</c:v>
                </c:pt>
                <c:pt idx="14">
                  <c:v>45.771713488451965</c:v>
                </c:pt>
                <c:pt idx="15">
                  <c:v>46.155212681765029</c:v>
                </c:pt>
                <c:pt idx="16">
                  <c:v>46.538711875078093</c:v>
                </c:pt>
                <c:pt idx="17">
                  <c:v>46.922211068391164</c:v>
                </c:pt>
                <c:pt idx="18">
                  <c:v>47.305710261704228</c:v>
                </c:pt>
                <c:pt idx="19">
                  <c:v>47.689209455017291</c:v>
                </c:pt>
                <c:pt idx="20">
                  <c:v>48.047949822751583</c:v>
                </c:pt>
                <c:pt idx="21">
                  <c:v>48.406690190485875</c:v>
                </c:pt>
                <c:pt idx="22">
                  <c:v>48.76543055822016</c:v>
                </c:pt>
                <c:pt idx="23">
                  <c:v>49.124170925954445</c:v>
                </c:pt>
                <c:pt idx="24">
                  <c:v>49.48291129368873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Brændselspriser!$K$6</c:f>
              <c:strCache>
                <c:ptCount val="1"/>
                <c:pt idx="0">
                  <c:v>Træflis</c:v>
                </c:pt>
              </c:strCache>
            </c:strRef>
          </c:tx>
          <c:marker>
            <c:symbol val="none"/>
          </c:marker>
          <c:cat>
            <c:numRef>
              <c:f>Brændselspriser!$B$7:$B$31</c:f>
              <c:numCache>
                <c:formatCode>General</c:formatCode>
                <c:ptCount val="2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</c:numCache>
            </c:numRef>
          </c:cat>
          <c:val>
            <c:numRef>
              <c:f>Brændselspriser!$K$7:$K$31</c:f>
              <c:numCache>
                <c:formatCode>0.0</c:formatCode>
                <c:ptCount val="25"/>
                <c:pt idx="0">
                  <c:v>48.756293558980147</c:v>
                </c:pt>
                <c:pt idx="1">
                  <c:v>49.109895541436636</c:v>
                </c:pt>
                <c:pt idx="2">
                  <c:v>49.463497523893118</c:v>
                </c:pt>
                <c:pt idx="3">
                  <c:v>49.817099506349599</c:v>
                </c:pt>
                <c:pt idx="4">
                  <c:v>50.170701488806074</c:v>
                </c:pt>
                <c:pt idx="5">
                  <c:v>50.825197970665116</c:v>
                </c:pt>
                <c:pt idx="6">
                  <c:v>51.479694452524157</c:v>
                </c:pt>
                <c:pt idx="7">
                  <c:v>52.134190934383192</c:v>
                </c:pt>
                <c:pt idx="8">
                  <c:v>52.788687416242233</c:v>
                </c:pt>
                <c:pt idx="9">
                  <c:v>53.443183898101275</c:v>
                </c:pt>
                <c:pt idx="10">
                  <c:v>54.250947118501081</c:v>
                </c:pt>
                <c:pt idx="11">
                  <c:v>55.058710338900887</c:v>
                </c:pt>
                <c:pt idx="12">
                  <c:v>55.866473559300694</c:v>
                </c:pt>
                <c:pt idx="13">
                  <c:v>56.6742367797005</c:v>
                </c:pt>
                <c:pt idx="14">
                  <c:v>57.4820000001003</c:v>
                </c:pt>
                <c:pt idx="15">
                  <c:v>57.963614057123138</c:v>
                </c:pt>
                <c:pt idx="16">
                  <c:v>58.445228114145969</c:v>
                </c:pt>
                <c:pt idx="17">
                  <c:v>58.926842171168808</c:v>
                </c:pt>
                <c:pt idx="18">
                  <c:v>59.408456228191639</c:v>
                </c:pt>
                <c:pt idx="19">
                  <c:v>59.89007028521447</c:v>
                </c:pt>
                <c:pt idx="20">
                  <c:v>60.34059119095555</c:v>
                </c:pt>
                <c:pt idx="21">
                  <c:v>60.791112096696622</c:v>
                </c:pt>
                <c:pt idx="22">
                  <c:v>61.241633002437702</c:v>
                </c:pt>
                <c:pt idx="23">
                  <c:v>61.692153908178774</c:v>
                </c:pt>
                <c:pt idx="24">
                  <c:v>62.142674813919839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Brændselspriser!$L$6</c:f>
              <c:strCache>
                <c:ptCount val="1"/>
                <c:pt idx="0">
                  <c:v>Træpiller</c:v>
                </c:pt>
              </c:strCache>
            </c:strRef>
          </c:tx>
          <c:marker>
            <c:symbol val="none"/>
          </c:marker>
          <c:cat>
            <c:numRef>
              <c:f>Brændselspriser!$B$7:$B$31</c:f>
              <c:numCache>
                <c:formatCode>General</c:formatCode>
                <c:ptCount val="2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</c:numCache>
            </c:numRef>
          </c:cat>
          <c:val>
            <c:numRef>
              <c:f>Brændselspriser!$L$7:$L$31</c:f>
              <c:numCache>
                <c:formatCode>0.0</c:formatCode>
                <c:ptCount val="25"/>
                <c:pt idx="0">
                  <c:v>65.304098557746372</c:v>
                </c:pt>
                <c:pt idx="1">
                  <c:v>65.43171911511908</c:v>
                </c:pt>
                <c:pt idx="2">
                  <c:v>65.559339672491802</c:v>
                </c:pt>
                <c:pt idx="3">
                  <c:v>65.686960229864511</c:v>
                </c:pt>
                <c:pt idx="4">
                  <c:v>65.814580787237219</c:v>
                </c:pt>
                <c:pt idx="5">
                  <c:v>66.330759262119301</c:v>
                </c:pt>
                <c:pt idx="6">
                  <c:v>66.846937737001397</c:v>
                </c:pt>
                <c:pt idx="7">
                  <c:v>67.363116211883465</c:v>
                </c:pt>
                <c:pt idx="8">
                  <c:v>67.879294686765562</c:v>
                </c:pt>
                <c:pt idx="9">
                  <c:v>68.395473161647644</c:v>
                </c:pt>
                <c:pt idx="10">
                  <c:v>69.111010287754297</c:v>
                </c:pt>
                <c:pt idx="11">
                  <c:v>69.826547413860936</c:v>
                </c:pt>
                <c:pt idx="12">
                  <c:v>70.542084539967576</c:v>
                </c:pt>
                <c:pt idx="13">
                  <c:v>71.257621666074215</c:v>
                </c:pt>
                <c:pt idx="14">
                  <c:v>71.97315879218084</c:v>
                </c:pt>
                <c:pt idx="15">
                  <c:v>72.320119089710957</c:v>
                </c:pt>
                <c:pt idx="16">
                  <c:v>72.667079387241088</c:v>
                </c:pt>
                <c:pt idx="17">
                  <c:v>73.014039684771205</c:v>
                </c:pt>
                <c:pt idx="18">
                  <c:v>73.360999982301323</c:v>
                </c:pt>
                <c:pt idx="19">
                  <c:v>73.707960279831426</c:v>
                </c:pt>
                <c:pt idx="20">
                  <c:v>74.015552943691958</c:v>
                </c:pt>
                <c:pt idx="21">
                  <c:v>74.32314560755249</c:v>
                </c:pt>
                <c:pt idx="22">
                  <c:v>74.630738271413009</c:v>
                </c:pt>
                <c:pt idx="23">
                  <c:v>74.938330935273541</c:v>
                </c:pt>
                <c:pt idx="24">
                  <c:v>75.245923599134088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Brændselspriser!$M$6</c:f>
              <c:strCache>
                <c:ptCount val="1"/>
                <c:pt idx="0">
                  <c:v>Træpiller, dec.</c:v>
                </c:pt>
              </c:strCache>
            </c:strRef>
          </c:tx>
          <c:spPr>
            <a:ln>
              <a:solidFill>
                <a:schemeClr val="accent4"/>
              </a:solidFill>
              <a:prstDash val="dash"/>
            </a:ln>
          </c:spPr>
          <c:marker>
            <c:symbol val="none"/>
          </c:marker>
          <c:cat>
            <c:numRef>
              <c:f>Brændselspriser!$B$7:$B$31</c:f>
              <c:numCache>
                <c:formatCode>General</c:formatCode>
                <c:ptCount val="2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</c:numCache>
            </c:numRef>
          </c:cat>
          <c:val>
            <c:numRef>
              <c:f>Brændselspriser!$M$7:$M$31</c:f>
              <c:numCache>
                <c:formatCode>0.0</c:formatCode>
                <c:ptCount val="25"/>
                <c:pt idx="0">
                  <c:v>69.656340758525602</c:v>
                </c:pt>
                <c:pt idx="1">
                  <c:v>69.77836811067958</c:v>
                </c:pt>
                <c:pt idx="2">
                  <c:v>69.900395462833572</c:v>
                </c:pt>
                <c:pt idx="3">
                  <c:v>70.022422814987564</c:v>
                </c:pt>
                <c:pt idx="4">
                  <c:v>70.144450167141571</c:v>
                </c:pt>
                <c:pt idx="5">
                  <c:v>70.693040843337045</c:v>
                </c:pt>
                <c:pt idx="6">
                  <c:v>71.241631519532504</c:v>
                </c:pt>
                <c:pt idx="7">
                  <c:v>71.790222195727964</c:v>
                </c:pt>
                <c:pt idx="8">
                  <c:v>72.338812871923423</c:v>
                </c:pt>
                <c:pt idx="9">
                  <c:v>72.887403548118911</c:v>
                </c:pt>
                <c:pt idx="10">
                  <c:v>73.651294100257232</c:v>
                </c:pt>
                <c:pt idx="11">
                  <c:v>74.415184652395553</c:v>
                </c:pt>
                <c:pt idx="12">
                  <c:v>75.179075204533859</c:v>
                </c:pt>
                <c:pt idx="13">
                  <c:v>75.94296575667218</c:v>
                </c:pt>
                <c:pt idx="14">
                  <c:v>76.706856308810487</c:v>
                </c:pt>
                <c:pt idx="15">
                  <c:v>77.065963282093321</c:v>
                </c:pt>
                <c:pt idx="16">
                  <c:v>77.425070255376156</c:v>
                </c:pt>
                <c:pt idx="17">
                  <c:v>77.784177228659004</c:v>
                </c:pt>
                <c:pt idx="18">
                  <c:v>78.143284201941839</c:v>
                </c:pt>
                <c:pt idx="19">
                  <c:v>78.502391175224702</c:v>
                </c:pt>
                <c:pt idx="20">
                  <c:v>78.81877053807726</c:v>
                </c:pt>
                <c:pt idx="21">
                  <c:v>79.135149900929818</c:v>
                </c:pt>
                <c:pt idx="22">
                  <c:v>79.451529263782376</c:v>
                </c:pt>
                <c:pt idx="23">
                  <c:v>79.767908626634934</c:v>
                </c:pt>
                <c:pt idx="24">
                  <c:v>80.084287989487464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902912"/>
        <c:axId val="114904448"/>
      </c:lineChart>
      <c:catAx>
        <c:axId val="114902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4904448"/>
        <c:crosses val="autoZero"/>
        <c:auto val="1"/>
        <c:lblAlgn val="ctr"/>
        <c:lblOffset val="100"/>
        <c:noMultiLvlLbl val="0"/>
      </c:catAx>
      <c:valAx>
        <c:axId val="114904448"/>
        <c:scaling>
          <c:orientation val="minMax"/>
          <c:min val="3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a-DK"/>
                  <a:t>DKK2016/GJ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crossAx val="11490291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da-DK" sz="1100"/>
              <a:t>Kapacitet vind (MW) - sammenligning mellem AF2016 og AF2015</a:t>
            </a:r>
          </a:p>
        </c:rich>
      </c:tx>
      <c:layout>
        <c:manualLayout>
          <c:xMode val="edge"/>
          <c:yMode val="edge"/>
          <c:x val="0.10847788002403314"/>
          <c:y val="1.408450443892934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672042500711508"/>
          <c:y val="7.444381456437571E-2"/>
          <c:w val="0.86977529013692567"/>
          <c:h val="0.70433963544053169"/>
        </c:manualLayout>
      </c:layout>
      <c:lineChart>
        <c:grouping val="standard"/>
        <c:varyColors val="0"/>
        <c:ser>
          <c:idx val="8"/>
          <c:order val="0"/>
          <c:tx>
            <c:v>Landvind AF16</c:v>
          </c:tx>
          <c:marker>
            <c:symbol val="none"/>
          </c:marker>
          <c:cat>
            <c:multiLvlStrRef>
              <c:f>'Beregningsark, vind'!#REF!</c:f>
            </c:multiLvlStrRef>
          </c:cat>
          <c:val>
            <c:numRef>
              <c:f>'Beregningsark, vind'!$G$177:$AE$177</c:f>
              <c:numCache>
                <c:formatCode>#,##0</c:formatCode>
                <c:ptCount val="25"/>
                <c:pt idx="0">
                  <c:v>3809.1300000000006</c:v>
                </c:pt>
                <c:pt idx="1">
                  <c:v>3951.4791000000005</c:v>
                </c:pt>
                <c:pt idx="2">
                  <c:v>4095.8402000000006</c:v>
                </c:pt>
                <c:pt idx="3">
                  <c:v>4220.8401999999996</c:v>
                </c:pt>
                <c:pt idx="4">
                  <c:v>4345.8402000000006</c:v>
                </c:pt>
                <c:pt idx="5">
                  <c:v>4470.8402000000006</c:v>
                </c:pt>
                <c:pt idx="6">
                  <c:v>4595.8401999999996</c:v>
                </c:pt>
                <c:pt idx="7">
                  <c:v>4720.8401999999996</c:v>
                </c:pt>
                <c:pt idx="8">
                  <c:v>4845.8401999999996</c:v>
                </c:pt>
                <c:pt idx="9">
                  <c:v>4970.8402000000006</c:v>
                </c:pt>
                <c:pt idx="10">
                  <c:v>5095.8402000000006</c:v>
                </c:pt>
                <c:pt idx="11">
                  <c:v>5220.8402000000006</c:v>
                </c:pt>
                <c:pt idx="12">
                  <c:v>5345.8402000000006</c:v>
                </c:pt>
                <c:pt idx="13">
                  <c:v>5470.8401999999996</c:v>
                </c:pt>
                <c:pt idx="14">
                  <c:v>5595.8401999999996</c:v>
                </c:pt>
                <c:pt idx="15">
                  <c:v>5720.8401999999996</c:v>
                </c:pt>
                <c:pt idx="16">
                  <c:v>5845.8401999999996</c:v>
                </c:pt>
                <c:pt idx="17">
                  <c:v>5970.8401999999987</c:v>
                </c:pt>
                <c:pt idx="18">
                  <c:v>6095.8401999999987</c:v>
                </c:pt>
                <c:pt idx="19">
                  <c:v>6220.8401999999987</c:v>
                </c:pt>
                <c:pt idx="20">
                  <c:v>6345.8401999999987</c:v>
                </c:pt>
                <c:pt idx="21">
                  <c:v>6470.8401999999987</c:v>
                </c:pt>
                <c:pt idx="22">
                  <c:v>6595.8401999999996</c:v>
                </c:pt>
                <c:pt idx="23">
                  <c:v>6720.8401999999996</c:v>
                </c:pt>
                <c:pt idx="24">
                  <c:v>6845.8401999999996</c:v>
                </c:pt>
              </c:numCache>
            </c:numRef>
          </c:val>
          <c:smooth val="0"/>
        </c:ser>
        <c:ser>
          <c:idx val="9"/>
          <c:order val="1"/>
          <c:tx>
            <c:v>Kystvind AF16</c:v>
          </c:tx>
          <c:spPr>
            <a:ln>
              <a:solidFill>
                <a:srgbClr val="4F81BD">
                  <a:lumMod val="40000"/>
                  <a:lumOff val="60000"/>
                </a:srgbClr>
              </a:solidFill>
            </a:ln>
          </c:spPr>
          <c:marker>
            <c:symbol val="none"/>
          </c:marker>
          <c:cat>
            <c:multiLvlStrRef>
              <c:f>'Beregningsark, vind'!#REF!</c:f>
            </c:multiLvlStrRef>
          </c:cat>
          <c:val>
            <c:numRef>
              <c:f>'Beregningsark, vind'!$G$178:$AE$178</c:f>
              <c:numCache>
                <c:formatCode>#,##0</c:formatCode>
                <c:ptCount val="25"/>
                <c:pt idx="0">
                  <c:v>129.55000000000001</c:v>
                </c:pt>
                <c:pt idx="1">
                  <c:v>124.6</c:v>
                </c:pt>
                <c:pt idx="2">
                  <c:v>124.6</c:v>
                </c:pt>
                <c:pt idx="3">
                  <c:v>124.6</c:v>
                </c:pt>
                <c:pt idx="4">
                  <c:v>524.6</c:v>
                </c:pt>
                <c:pt idx="5">
                  <c:v>569.6</c:v>
                </c:pt>
                <c:pt idx="6">
                  <c:v>569.6</c:v>
                </c:pt>
                <c:pt idx="7">
                  <c:v>569.6</c:v>
                </c:pt>
                <c:pt idx="8">
                  <c:v>569.6</c:v>
                </c:pt>
                <c:pt idx="9">
                  <c:v>569.6</c:v>
                </c:pt>
                <c:pt idx="10">
                  <c:v>529.6</c:v>
                </c:pt>
                <c:pt idx="11">
                  <c:v>529.6</c:v>
                </c:pt>
                <c:pt idx="12">
                  <c:v>529.6</c:v>
                </c:pt>
                <c:pt idx="13">
                  <c:v>481.8</c:v>
                </c:pt>
                <c:pt idx="14">
                  <c:v>481.8</c:v>
                </c:pt>
                <c:pt idx="15">
                  <c:v>481.8</c:v>
                </c:pt>
                <c:pt idx="16">
                  <c:v>481.8</c:v>
                </c:pt>
                <c:pt idx="17">
                  <c:v>481.8</c:v>
                </c:pt>
                <c:pt idx="18">
                  <c:v>481.8</c:v>
                </c:pt>
                <c:pt idx="19">
                  <c:v>453.6</c:v>
                </c:pt>
                <c:pt idx="20">
                  <c:v>453.6</c:v>
                </c:pt>
                <c:pt idx="21">
                  <c:v>450</c:v>
                </c:pt>
                <c:pt idx="22">
                  <c:v>450</c:v>
                </c:pt>
                <c:pt idx="23">
                  <c:v>450</c:v>
                </c:pt>
                <c:pt idx="24">
                  <c:v>450</c:v>
                </c:pt>
              </c:numCache>
            </c:numRef>
          </c:val>
          <c:smooth val="0"/>
        </c:ser>
        <c:ser>
          <c:idx val="10"/>
          <c:order val="2"/>
          <c:tx>
            <c:v>Havvind AF16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multiLvlStrRef>
              <c:f>'Beregningsark, vind'!#REF!</c:f>
            </c:multiLvlStrRef>
          </c:cat>
          <c:val>
            <c:numRef>
              <c:f>'Beregningsark, vind'!$G$179:$AE$179</c:f>
              <c:numCache>
                <c:formatCode>#,##0</c:formatCode>
                <c:ptCount val="25"/>
                <c:pt idx="0">
                  <c:v>1141.5</c:v>
                </c:pt>
                <c:pt idx="1">
                  <c:v>1141.5</c:v>
                </c:pt>
                <c:pt idx="2">
                  <c:v>1141.5</c:v>
                </c:pt>
                <c:pt idx="3">
                  <c:v>1548.2</c:v>
                </c:pt>
                <c:pt idx="4">
                  <c:v>1748.2</c:v>
                </c:pt>
                <c:pt idx="5">
                  <c:v>1948.2</c:v>
                </c:pt>
                <c:pt idx="6">
                  <c:v>2148.1999999999998</c:v>
                </c:pt>
                <c:pt idx="7">
                  <c:v>2148.1999999999998</c:v>
                </c:pt>
                <c:pt idx="8">
                  <c:v>2148.1999999999998</c:v>
                </c:pt>
                <c:pt idx="9">
                  <c:v>2148.1999999999998</c:v>
                </c:pt>
                <c:pt idx="10">
                  <c:v>2148.1999999999998</c:v>
                </c:pt>
                <c:pt idx="11">
                  <c:v>2348.1999999999998</c:v>
                </c:pt>
                <c:pt idx="12">
                  <c:v>2388.1999999999998</c:v>
                </c:pt>
                <c:pt idx="13">
                  <c:v>2222.6000000000004</c:v>
                </c:pt>
                <c:pt idx="14">
                  <c:v>2422.6000000000004</c:v>
                </c:pt>
                <c:pt idx="15">
                  <c:v>2622.6000000000004</c:v>
                </c:pt>
                <c:pt idx="16">
                  <c:v>2622.6000000000004</c:v>
                </c:pt>
                <c:pt idx="17">
                  <c:v>2822.6000000000004</c:v>
                </c:pt>
                <c:pt idx="18">
                  <c:v>3022.6000000000004</c:v>
                </c:pt>
                <c:pt idx="19">
                  <c:v>2813.3</c:v>
                </c:pt>
                <c:pt idx="20">
                  <c:v>2806.3</c:v>
                </c:pt>
                <c:pt idx="21">
                  <c:v>3006.3</c:v>
                </c:pt>
                <c:pt idx="22">
                  <c:v>3006.3</c:v>
                </c:pt>
                <c:pt idx="23">
                  <c:v>2806.7</c:v>
                </c:pt>
                <c:pt idx="24">
                  <c:v>3006.7</c:v>
                </c:pt>
              </c:numCache>
            </c:numRef>
          </c:val>
          <c:smooth val="0"/>
        </c:ser>
        <c:ser>
          <c:idx val="11"/>
          <c:order val="3"/>
          <c:tx>
            <c:v>Samlet kapacitet AF16</c:v>
          </c:tx>
          <c:spPr>
            <a:ln>
              <a:solidFill>
                <a:srgbClr val="8064A2"/>
              </a:solidFill>
            </a:ln>
          </c:spPr>
          <c:marker>
            <c:symbol val="none"/>
          </c:marker>
          <c:cat>
            <c:multiLvlStrRef>
              <c:f>'Beregningsark, vind'!#REF!</c:f>
            </c:multiLvlStrRef>
          </c:cat>
          <c:val>
            <c:numRef>
              <c:f>'Beregningsark, vind'!$G$180:$AE$180</c:f>
              <c:numCache>
                <c:formatCode>#,##0</c:formatCode>
                <c:ptCount val="25"/>
                <c:pt idx="0">
                  <c:v>5080.18</c:v>
                </c:pt>
                <c:pt idx="1">
                  <c:v>5217.5791000000008</c:v>
                </c:pt>
                <c:pt idx="2">
                  <c:v>5361.9402000000009</c:v>
                </c:pt>
                <c:pt idx="3">
                  <c:v>5893.6401999999998</c:v>
                </c:pt>
                <c:pt idx="4">
                  <c:v>6618.6402000000007</c:v>
                </c:pt>
                <c:pt idx="5">
                  <c:v>6988.6402000000007</c:v>
                </c:pt>
                <c:pt idx="6">
                  <c:v>7313.6401999999998</c:v>
                </c:pt>
                <c:pt idx="7">
                  <c:v>7438.6401999999998</c:v>
                </c:pt>
                <c:pt idx="8">
                  <c:v>7563.6401999999998</c:v>
                </c:pt>
                <c:pt idx="9">
                  <c:v>7688.6402000000007</c:v>
                </c:pt>
                <c:pt idx="10">
                  <c:v>7773.6402000000007</c:v>
                </c:pt>
                <c:pt idx="11">
                  <c:v>8098.6402000000007</c:v>
                </c:pt>
                <c:pt idx="12">
                  <c:v>8263.6402000000016</c:v>
                </c:pt>
                <c:pt idx="13">
                  <c:v>8175.2402000000002</c:v>
                </c:pt>
                <c:pt idx="14">
                  <c:v>8500.2402000000002</c:v>
                </c:pt>
                <c:pt idx="15">
                  <c:v>8825.2402000000002</c:v>
                </c:pt>
                <c:pt idx="16">
                  <c:v>8950.2402000000002</c:v>
                </c:pt>
                <c:pt idx="17">
                  <c:v>9275.2402000000002</c:v>
                </c:pt>
                <c:pt idx="18">
                  <c:v>9600.2402000000002</c:v>
                </c:pt>
                <c:pt idx="19">
                  <c:v>9487.7402000000002</c:v>
                </c:pt>
                <c:pt idx="20">
                  <c:v>9605.7402000000002</c:v>
                </c:pt>
                <c:pt idx="21">
                  <c:v>9927.140199999998</c:v>
                </c:pt>
                <c:pt idx="22">
                  <c:v>10052.1402</c:v>
                </c:pt>
                <c:pt idx="23">
                  <c:v>9977.5401999999995</c:v>
                </c:pt>
                <c:pt idx="24">
                  <c:v>10302.540199999999</c:v>
                </c:pt>
              </c:numCache>
            </c:numRef>
          </c:val>
          <c:smooth val="0"/>
        </c:ser>
        <c:ser>
          <c:idx val="0"/>
          <c:order val="4"/>
          <c:tx>
            <c:v>Landvind AF15</c:v>
          </c:tx>
          <c:spPr>
            <a:ln>
              <a:solidFill>
                <a:srgbClr val="81B442"/>
              </a:solidFill>
              <a:prstDash val="sysDash"/>
            </a:ln>
          </c:spPr>
          <c:marker>
            <c:symbol val="none"/>
          </c:marker>
          <c:cat>
            <c:multiLvlStrRef>
              <c:f>'Beregningsark, vind'!#REF!</c:f>
            </c:multiLvlStrRef>
          </c:cat>
          <c:val>
            <c:numRef>
              <c:f>'Beregningsark, vind'!$G$204:$Z$204</c:f>
              <c:numCache>
                <c:formatCode>#,##0</c:formatCode>
                <c:ptCount val="20"/>
                <c:pt idx="0">
                  <c:v>3770.19</c:v>
                </c:pt>
                <c:pt idx="1">
                  <c:v>3919.8395</c:v>
                </c:pt>
                <c:pt idx="2">
                  <c:v>3969.8395</c:v>
                </c:pt>
                <c:pt idx="3">
                  <c:v>4019.8395000000005</c:v>
                </c:pt>
                <c:pt idx="4">
                  <c:v>4069.8395</c:v>
                </c:pt>
                <c:pt idx="5">
                  <c:v>4119.8395</c:v>
                </c:pt>
                <c:pt idx="6">
                  <c:v>4169.8395</c:v>
                </c:pt>
                <c:pt idx="7">
                  <c:v>4219.8395</c:v>
                </c:pt>
                <c:pt idx="8">
                  <c:v>4269.8395</c:v>
                </c:pt>
                <c:pt idx="9">
                  <c:v>4319.8395</c:v>
                </c:pt>
                <c:pt idx="10">
                  <c:v>4369.8395</c:v>
                </c:pt>
                <c:pt idx="11">
                  <c:v>4419.8395</c:v>
                </c:pt>
                <c:pt idx="12">
                  <c:v>4469.839500000001</c:v>
                </c:pt>
                <c:pt idx="13">
                  <c:v>4519.8395</c:v>
                </c:pt>
                <c:pt idx="14">
                  <c:v>4569.8395</c:v>
                </c:pt>
                <c:pt idx="15">
                  <c:v>4619.8395</c:v>
                </c:pt>
                <c:pt idx="16">
                  <c:v>4626.1895000000004</c:v>
                </c:pt>
                <c:pt idx="17">
                  <c:v>4632.5394999999999</c:v>
                </c:pt>
                <c:pt idx="18">
                  <c:v>4638.8895000000002</c:v>
                </c:pt>
                <c:pt idx="19">
                  <c:v>4645.2394999999997</c:v>
                </c:pt>
              </c:numCache>
            </c:numRef>
          </c:val>
          <c:smooth val="0"/>
        </c:ser>
        <c:ser>
          <c:idx val="1"/>
          <c:order val="5"/>
          <c:tx>
            <c:v>Kystvind AF15</c:v>
          </c:tx>
          <c:spPr>
            <a:ln>
              <a:solidFill>
                <a:srgbClr val="4F81BD">
                  <a:lumMod val="40000"/>
                  <a:lumOff val="60000"/>
                </a:srgbClr>
              </a:solidFill>
              <a:prstDash val="sysDash"/>
            </a:ln>
          </c:spPr>
          <c:marker>
            <c:symbol val="none"/>
          </c:marker>
          <c:cat>
            <c:multiLvlStrRef>
              <c:f>'Beregningsark, vind'!#REF!</c:f>
            </c:multiLvlStrRef>
          </c:cat>
          <c:val>
            <c:numRef>
              <c:f>'Beregningsark, vind'!$G$205:$Z$205</c:f>
              <c:numCache>
                <c:formatCode>#,##0</c:formatCode>
                <c:ptCount val="20"/>
                <c:pt idx="0">
                  <c:v>129.55000000000001</c:v>
                </c:pt>
                <c:pt idx="1">
                  <c:v>129.55000000000001</c:v>
                </c:pt>
                <c:pt idx="2">
                  <c:v>129.55000000000001</c:v>
                </c:pt>
                <c:pt idx="3">
                  <c:v>129.55000000000001</c:v>
                </c:pt>
                <c:pt idx="4">
                  <c:v>529.54999999999995</c:v>
                </c:pt>
                <c:pt idx="5">
                  <c:v>529.54999999999995</c:v>
                </c:pt>
                <c:pt idx="6">
                  <c:v>529.54999999999995</c:v>
                </c:pt>
                <c:pt idx="7">
                  <c:v>529.54999999999995</c:v>
                </c:pt>
                <c:pt idx="8">
                  <c:v>529.54999999999995</c:v>
                </c:pt>
                <c:pt idx="9">
                  <c:v>529.54999999999995</c:v>
                </c:pt>
                <c:pt idx="10">
                  <c:v>529.54999999999995</c:v>
                </c:pt>
                <c:pt idx="11">
                  <c:v>529.54999999999995</c:v>
                </c:pt>
                <c:pt idx="12">
                  <c:v>529.54999999999995</c:v>
                </c:pt>
                <c:pt idx="13">
                  <c:v>529.54999999999995</c:v>
                </c:pt>
                <c:pt idx="14">
                  <c:v>529.54999999999995</c:v>
                </c:pt>
                <c:pt idx="15">
                  <c:v>529.54999999999995</c:v>
                </c:pt>
                <c:pt idx="16">
                  <c:v>529.54999999999995</c:v>
                </c:pt>
                <c:pt idx="17">
                  <c:v>529.54999999999995</c:v>
                </c:pt>
                <c:pt idx="18">
                  <c:v>529.54999999999995</c:v>
                </c:pt>
                <c:pt idx="19">
                  <c:v>529.54999999999995</c:v>
                </c:pt>
              </c:numCache>
            </c:numRef>
          </c:val>
          <c:smooth val="0"/>
        </c:ser>
        <c:ser>
          <c:idx val="2"/>
          <c:order val="6"/>
          <c:tx>
            <c:v>Havvind AF15</c:v>
          </c:tx>
          <c:spPr>
            <a:ln>
              <a:solidFill>
                <a:srgbClr val="0070C0"/>
              </a:solidFill>
              <a:prstDash val="sysDash"/>
            </a:ln>
          </c:spPr>
          <c:marker>
            <c:symbol val="none"/>
          </c:marker>
          <c:cat>
            <c:multiLvlStrRef>
              <c:f>'Beregningsark, vind'!#REF!</c:f>
            </c:multiLvlStrRef>
          </c:cat>
          <c:val>
            <c:numRef>
              <c:f>'Beregningsark, vind'!$G$206:$Z$206</c:f>
              <c:numCache>
                <c:formatCode>#,##0</c:formatCode>
                <c:ptCount val="20"/>
                <c:pt idx="0">
                  <c:v>1141.5</c:v>
                </c:pt>
                <c:pt idx="1">
                  <c:v>1141.5</c:v>
                </c:pt>
                <c:pt idx="2">
                  <c:v>1241.5</c:v>
                </c:pt>
                <c:pt idx="3">
                  <c:v>1391.5</c:v>
                </c:pt>
                <c:pt idx="4">
                  <c:v>1741.5</c:v>
                </c:pt>
                <c:pt idx="5">
                  <c:v>1941.5</c:v>
                </c:pt>
                <c:pt idx="6">
                  <c:v>2141.5</c:v>
                </c:pt>
                <c:pt idx="7">
                  <c:v>2141.5</c:v>
                </c:pt>
                <c:pt idx="8">
                  <c:v>2141.5</c:v>
                </c:pt>
                <c:pt idx="9">
                  <c:v>2141.5</c:v>
                </c:pt>
                <c:pt idx="10">
                  <c:v>2341.5</c:v>
                </c:pt>
                <c:pt idx="11">
                  <c:v>2541.5</c:v>
                </c:pt>
                <c:pt idx="12">
                  <c:v>2541.5</c:v>
                </c:pt>
                <c:pt idx="13">
                  <c:v>2741.5</c:v>
                </c:pt>
                <c:pt idx="14">
                  <c:v>2941.5</c:v>
                </c:pt>
                <c:pt idx="15">
                  <c:v>2941.5</c:v>
                </c:pt>
                <c:pt idx="16">
                  <c:v>2941.5</c:v>
                </c:pt>
                <c:pt idx="17">
                  <c:v>2941.5</c:v>
                </c:pt>
                <c:pt idx="18">
                  <c:v>2941.5</c:v>
                </c:pt>
                <c:pt idx="19">
                  <c:v>2941.5</c:v>
                </c:pt>
              </c:numCache>
            </c:numRef>
          </c:val>
          <c:smooth val="0"/>
        </c:ser>
        <c:ser>
          <c:idx val="3"/>
          <c:order val="7"/>
          <c:tx>
            <c:v>Samlet kapacitet AF15</c:v>
          </c:tx>
          <c:spPr>
            <a:ln>
              <a:solidFill>
                <a:srgbClr val="8064A2"/>
              </a:solidFill>
              <a:prstDash val="sysDash"/>
            </a:ln>
          </c:spPr>
          <c:marker>
            <c:symbol val="none"/>
          </c:marker>
          <c:cat>
            <c:multiLvlStrRef>
              <c:f>'Beregningsark, vind'!#REF!</c:f>
            </c:multiLvlStrRef>
          </c:cat>
          <c:val>
            <c:numRef>
              <c:f>'Beregningsark, vind'!$G$207:$Z$207</c:f>
              <c:numCache>
                <c:formatCode>#,##0</c:formatCode>
                <c:ptCount val="20"/>
                <c:pt idx="0">
                  <c:v>5041.24</c:v>
                </c:pt>
                <c:pt idx="1">
                  <c:v>5190.8895000000002</c:v>
                </c:pt>
                <c:pt idx="2">
                  <c:v>5340.8895000000002</c:v>
                </c:pt>
                <c:pt idx="3">
                  <c:v>5540.8895000000002</c:v>
                </c:pt>
                <c:pt idx="4">
                  <c:v>6340.8895000000002</c:v>
                </c:pt>
                <c:pt idx="5">
                  <c:v>6590.8895000000002</c:v>
                </c:pt>
                <c:pt idx="6">
                  <c:v>6840.8895000000002</c:v>
                </c:pt>
                <c:pt idx="7">
                  <c:v>6890.8895000000002</c:v>
                </c:pt>
                <c:pt idx="8">
                  <c:v>6940.8895000000002</c:v>
                </c:pt>
                <c:pt idx="9">
                  <c:v>6990.8895000000002</c:v>
                </c:pt>
                <c:pt idx="10">
                  <c:v>7240.8895000000002</c:v>
                </c:pt>
                <c:pt idx="11">
                  <c:v>7490.8895000000002</c:v>
                </c:pt>
                <c:pt idx="12">
                  <c:v>7540.8895000000011</c:v>
                </c:pt>
                <c:pt idx="13">
                  <c:v>7790.8895000000002</c:v>
                </c:pt>
                <c:pt idx="14">
                  <c:v>8040.8895000000002</c:v>
                </c:pt>
                <c:pt idx="15">
                  <c:v>8090.8895000000002</c:v>
                </c:pt>
                <c:pt idx="16">
                  <c:v>8097.2395000000006</c:v>
                </c:pt>
                <c:pt idx="17">
                  <c:v>8103.5895</c:v>
                </c:pt>
                <c:pt idx="18">
                  <c:v>8109.9395000000004</c:v>
                </c:pt>
                <c:pt idx="19">
                  <c:v>8116.2894999999999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182208"/>
        <c:axId val="133183744"/>
      </c:lineChart>
      <c:catAx>
        <c:axId val="133182208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/>
            </a:pPr>
            <a:endParaRPr lang="da-DK"/>
          </a:p>
        </c:txPr>
        <c:crossAx val="133183744"/>
        <c:crosses val="autoZero"/>
        <c:auto val="1"/>
        <c:lblAlgn val="ctr"/>
        <c:lblOffset val="100"/>
        <c:noMultiLvlLbl val="0"/>
      </c:catAx>
      <c:valAx>
        <c:axId val="1331837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33182208"/>
        <c:crosses val="autoZero"/>
        <c:crossBetween val="midCat"/>
        <c:majorUnit val="1000"/>
      </c:valAx>
    </c:plotArea>
    <c:legend>
      <c:legendPos val="b"/>
      <c:layout>
        <c:manualLayout>
          <c:xMode val="edge"/>
          <c:yMode val="edge"/>
          <c:x val="3.0522088353413655E-2"/>
          <c:y val="0.83714283443443227"/>
          <c:w val="0.96947791164658637"/>
          <c:h val="0.15704536670633865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>
      <a:solidFill>
        <a:srgbClr val="1F497D"/>
      </a:solidFill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Fuldlasttimer for landvind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'Beregningsark, vind'!$B$276</c:f>
              <c:strCache>
                <c:ptCount val="1"/>
                <c:pt idx="0">
                  <c:v>Østdanmark</c:v>
                </c:pt>
              </c:strCache>
            </c:strRef>
          </c:tx>
          <c:marker>
            <c:symbol val="none"/>
          </c:marker>
          <c:cat>
            <c:strRef>
              <c:f>'Beregningsark, vind'!$C$275:$AM$275</c:f>
              <c:strCache>
                <c:ptCount val="37"/>
                <c:pt idx="0">
                  <c:v>Før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  <c:pt idx="22">
                  <c:v>2026</c:v>
                </c:pt>
                <c:pt idx="23">
                  <c:v>2027</c:v>
                </c:pt>
                <c:pt idx="24">
                  <c:v>2028</c:v>
                </c:pt>
                <c:pt idx="25">
                  <c:v>2029</c:v>
                </c:pt>
                <c:pt idx="26">
                  <c:v>2030</c:v>
                </c:pt>
                <c:pt idx="27">
                  <c:v>2031</c:v>
                </c:pt>
                <c:pt idx="28">
                  <c:v>2032</c:v>
                </c:pt>
                <c:pt idx="29">
                  <c:v>2033</c:v>
                </c:pt>
                <c:pt idx="30">
                  <c:v>2034</c:v>
                </c:pt>
                <c:pt idx="31">
                  <c:v>2035</c:v>
                </c:pt>
                <c:pt idx="32">
                  <c:v>2036</c:v>
                </c:pt>
                <c:pt idx="33">
                  <c:v>2037</c:v>
                </c:pt>
                <c:pt idx="34">
                  <c:v>2038</c:v>
                </c:pt>
                <c:pt idx="35">
                  <c:v>2039</c:v>
                </c:pt>
                <c:pt idx="36">
                  <c:v>2040</c:v>
                </c:pt>
              </c:strCache>
            </c:strRef>
          </c:cat>
          <c:val>
            <c:numRef>
              <c:f>'Beregningsark, vind'!$C$276:$AM$276</c:f>
              <c:numCache>
                <c:formatCode>#,##0</c:formatCode>
                <c:ptCount val="37"/>
                <c:pt idx="0">
                  <c:v>1850</c:v>
                </c:pt>
                <c:pt idx="1">
                  <c:v>1850</c:v>
                </c:pt>
                <c:pt idx="2">
                  <c:v>1850</c:v>
                </c:pt>
                <c:pt idx="3">
                  <c:v>1850</c:v>
                </c:pt>
                <c:pt idx="4">
                  <c:v>2700</c:v>
                </c:pt>
                <c:pt idx="5">
                  <c:v>2700</c:v>
                </c:pt>
                <c:pt idx="6">
                  <c:v>2700</c:v>
                </c:pt>
                <c:pt idx="7">
                  <c:v>2700</c:v>
                </c:pt>
                <c:pt idx="8">
                  <c:v>2700</c:v>
                </c:pt>
                <c:pt idx="9">
                  <c:v>2700</c:v>
                </c:pt>
                <c:pt idx="10">
                  <c:v>3000</c:v>
                </c:pt>
                <c:pt idx="11">
                  <c:v>3000</c:v>
                </c:pt>
                <c:pt idx="12">
                  <c:v>3000</c:v>
                </c:pt>
                <c:pt idx="13">
                  <c:v>3000</c:v>
                </c:pt>
                <c:pt idx="14">
                  <c:v>3000</c:v>
                </c:pt>
                <c:pt idx="15">
                  <c:v>3000</c:v>
                </c:pt>
                <c:pt idx="16">
                  <c:v>3150</c:v>
                </c:pt>
                <c:pt idx="17">
                  <c:v>3150</c:v>
                </c:pt>
                <c:pt idx="18">
                  <c:v>3150</c:v>
                </c:pt>
                <c:pt idx="19">
                  <c:v>3150</c:v>
                </c:pt>
                <c:pt idx="20">
                  <c:v>3150</c:v>
                </c:pt>
                <c:pt idx="21">
                  <c:v>3150</c:v>
                </c:pt>
                <c:pt idx="22">
                  <c:v>3150</c:v>
                </c:pt>
                <c:pt idx="23">
                  <c:v>3150</c:v>
                </c:pt>
                <c:pt idx="24">
                  <c:v>3150</c:v>
                </c:pt>
                <c:pt idx="25">
                  <c:v>3150</c:v>
                </c:pt>
                <c:pt idx="26">
                  <c:v>3150</c:v>
                </c:pt>
                <c:pt idx="27">
                  <c:v>3150</c:v>
                </c:pt>
                <c:pt idx="28">
                  <c:v>3150</c:v>
                </c:pt>
                <c:pt idx="29">
                  <c:v>3150</c:v>
                </c:pt>
                <c:pt idx="30">
                  <c:v>3150</c:v>
                </c:pt>
                <c:pt idx="31">
                  <c:v>3150</c:v>
                </c:pt>
                <c:pt idx="32">
                  <c:v>3150</c:v>
                </c:pt>
                <c:pt idx="33">
                  <c:v>3150</c:v>
                </c:pt>
                <c:pt idx="34">
                  <c:v>3150</c:v>
                </c:pt>
                <c:pt idx="35">
                  <c:v>3150</c:v>
                </c:pt>
                <c:pt idx="36">
                  <c:v>3150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'Beregningsark, vind'!$B$277</c:f>
              <c:strCache>
                <c:ptCount val="1"/>
                <c:pt idx="0">
                  <c:v>Vestdanmark</c:v>
                </c:pt>
              </c:strCache>
            </c:strRef>
          </c:tx>
          <c:marker>
            <c:symbol val="none"/>
          </c:marker>
          <c:cat>
            <c:strRef>
              <c:f>'Beregningsark, vind'!$C$275:$AM$275</c:f>
              <c:strCache>
                <c:ptCount val="37"/>
                <c:pt idx="0">
                  <c:v>Før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  <c:pt idx="22">
                  <c:v>2026</c:v>
                </c:pt>
                <c:pt idx="23">
                  <c:v>2027</c:v>
                </c:pt>
                <c:pt idx="24">
                  <c:v>2028</c:v>
                </c:pt>
                <c:pt idx="25">
                  <c:v>2029</c:v>
                </c:pt>
                <c:pt idx="26">
                  <c:v>2030</c:v>
                </c:pt>
                <c:pt idx="27">
                  <c:v>2031</c:v>
                </c:pt>
                <c:pt idx="28">
                  <c:v>2032</c:v>
                </c:pt>
                <c:pt idx="29">
                  <c:v>2033</c:v>
                </c:pt>
                <c:pt idx="30">
                  <c:v>2034</c:v>
                </c:pt>
                <c:pt idx="31">
                  <c:v>2035</c:v>
                </c:pt>
                <c:pt idx="32">
                  <c:v>2036</c:v>
                </c:pt>
                <c:pt idx="33">
                  <c:v>2037</c:v>
                </c:pt>
                <c:pt idx="34">
                  <c:v>2038</c:v>
                </c:pt>
                <c:pt idx="35">
                  <c:v>2039</c:v>
                </c:pt>
                <c:pt idx="36">
                  <c:v>2040</c:v>
                </c:pt>
              </c:strCache>
            </c:strRef>
          </c:cat>
          <c:val>
            <c:numRef>
              <c:f>'Beregningsark, vind'!$C$277:$AM$277</c:f>
              <c:numCache>
                <c:formatCode>#,##0</c:formatCode>
                <c:ptCount val="37"/>
                <c:pt idx="0">
                  <c:v>2000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2950</c:v>
                </c:pt>
                <c:pt idx="5">
                  <c:v>2950</c:v>
                </c:pt>
                <c:pt idx="6">
                  <c:v>2950</c:v>
                </c:pt>
                <c:pt idx="7">
                  <c:v>2950</c:v>
                </c:pt>
                <c:pt idx="8">
                  <c:v>2950</c:v>
                </c:pt>
                <c:pt idx="9">
                  <c:v>2950</c:v>
                </c:pt>
                <c:pt idx="10">
                  <c:v>3150</c:v>
                </c:pt>
                <c:pt idx="11">
                  <c:v>3150</c:v>
                </c:pt>
                <c:pt idx="12">
                  <c:v>3150</c:v>
                </c:pt>
                <c:pt idx="13">
                  <c:v>3150</c:v>
                </c:pt>
                <c:pt idx="14">
                  <c:v>3150</c:v>
                </c:pt>
                <c:pt idx="15">
                  <c:v>3150</c:v>
                </c:pt>
                <c:pt idx="16">
                  <c:v>3300</c:v>
                </c:pt>
                <c:pt idx="17">
                  <c:v>3300</c:v>
                </c:pt>
                <c:pt idx="18">
                  <c:v>3300</c:v>
                </c:pt>
                <c:pt idx="19">
                  <c:v>3300</c:v>
                </c:pt>
                <c:pt idx="20">
                  <c:v>3300</c:v>
                </c:pt>
                <c:pt idx="21">
                  <c:v>3300</c:v>
                </c:pt>
                <c:pt idx="22">
                  <c:v>3300</c:v>
                </c:pt>
                <c:pt idx="23">
                  <c:v>3300</c:v>
                </c:pt>
                <c:pt idx="24">
                  <c:v>3300</c:v>
                </c:pt>
                <c:pt idx="25">
                  <c:v>3300</c:v>
                </c:pt>
                <c:pt idx="26">
                  <c:v>3300</c:v>
                </c:pt>
                <c:pt idx="27">
                  <c:v>3300</c:v>
                </c:pt>
                <c:pt idx="28">
                  <c:v>3300</c:v>
                </c:pt>
                <c:pt idx="29">
                  <c:v>3300</c:v>
                </c:pt>
                <c:pt idx="30">
                  <c:v>3300</c:v>
                </c:pt>
                <c:pt idx="31">
                  <c:v>3300</c:v>
                </c:pt>
                <c:pt idx="32">
                  <c:v>3300</c:v>
                </c:pt>
                <c:pt idx="33">
                  <c:v>3300</c:v>
                </c:pt>
                <c:pt idx="34">
                  <c:v>3300</c:v>
                </c:pt>
                <c:pt idx="35">
                  <c:v>3300</c:v>
                </c:pt>
                <c:pt idx="36">
                  <c:v>3300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20992"/>
        <c:axId val="133230976"/>
      </c:lineChart>
      <c:catAx>
        <c:axId val="133220992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crossAx val="133230976"/>
        <c:crosses val="autoZero"/>
        <c:auto val="1"/>
        <c:lblAlgn val="ctr"/>
        <c:lblOffset val="100"/>
        <c:noMultiLvlLbl val="0"/>
      </c:catAx>
      <c:valAx>
        <c:axId val="133230976"/>
        <c:scaling>
          <c:orientation val="minMax"/>
          <c:max val="3500"/>
          <c:min val="1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Fuldlasttimer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33220992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Udvikling</a:t>
            </a:r>
            <a:r>
              <a:rPr lang="da-DK" baseline="0"/>
              <a:t> i landvind</a:t>
            </a:r>
            <a:endParaRPr lang="da-DK"/>
          </a:p>
        </c:rich>
      </c:tx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'Beregningsark, vind'!$B$308</c:f>
              <c:strCache>
                <c:ptCount val="1"/>
                <c:pt idx="0">
                  <c:v>Landvind, før 2008</c:v>
                </c:pt>
              </c:strCache>
            </c:strRef>
          </c:tx>
          <c:cat>
            <c:numRef>
              <c:f>'Beregningsark, vind'!$F$307:$AD$307</c:f>
              <c:numCache>
                <c:formatCode>0</c:formatCode>
                <c:ptCount val="2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</c:numCache>
            </c:numRef>
          </c:cat>
          <c:val>
            <c:numRef>
              <c:f>'Beregningsark, vind'!$F$308:$AD$308</c:f>
              <c:numCache>
                <c:formatCode>#,##0</c:formatCode>
                <c:ptCount val="25"/>
                <c:pt idx="0">
                  <c:v>2427.3000000000002</c:v>
                </c:pt>
                <c:pt idx="1">
                  <c:v>2359.6491000000001</c:v>
                </c:pt>
                <c:pt idx="2">
                  <c:v>2294.0102000000002</c:v>
                </c:pt>
                <c:pt idx="3">
                  <c:v>2228.3713000000002</c:v>
                </c:pt>
                <c:pt idx="4">
                  <c:v>2162.7323999999999</c:v>
                </c:pt>
                <c:pt idx="5">
                  <c:v>2079.3402857142855</c:v>
                </c:pt>
                <c:pt idx="6">
                  <c:v>1995.9481714285716</c:v>
                </c:pt>
                <c:pt idx="7">
                  <c:v>1839.4907714285714</c:v>
                </c:pt>
                <c:pt idx="8">
                  <c:v>1683.0333714285716</c:v>
                </c:pt>
                <c:pt idx="9">
                  <c:v>1526.5759714285716</c:v>
                </c:pt>
                <c:pt idx="10">
                  <c:v>1370.1185714285718</c:v>
                </c:pt>
                <c:pt idx="11">
                  <c:v>1174.3873469387759</c:v>
                </c:pt>
                <c:pt idx="12">
                  <c:v>978.65612244897989</c:v>
                </c:pt>
                <c:pt idx="13">
                  <c:v>782.92489795918402</c:v>
                </c:pt>
                <c:pt idx="14">
                  <c:v>587.19367346938805</c:v>
                </c:pt>
                <c:pt idx="15">
                  <c:v>391.46244897959207</c:v>
                </c:pt>
                <c:pt idx="16">
                  <c:v>195.73122448979615</c:v>
                </c:pt>
                <c:pt idx="17">
                  <c:v>1.7053025658242404E-13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"/>
          <c:order val="1"/>
          <c:tx>
            <c:strRef>
              <c:f>'Beregningsark, vind'!$B$309</c:f>
              <c:strCache>
                <c:ptCount val="1"/>
                <c:pt idx="0">
                  <c:v>Landvind, 2008-2013</c:v>
                </c:pt>
              </c:strCache>
            </c:strRef>
          </c:tx>
          <c:cat>
            <c:numRef>
              <c:f>'Beregningsark, vind'!$F$307:$AD$307</c:f>
              <c:numCache>
                <c:formatCode>0</c:formatCode>
                <c:ptCount val="2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</c:numCache>
            </c:numRef>
          </c:cat>
          <c:val>
            <c:numRef>
              <c:f>'Beregningsark, vind'!$F$309:$AD$309</c:f>
              <c:numCache>
                <c:formatCode>#,##0</c:formatCode>
                <c:ptCount val="25"/>
                <c:pt idx="0">
                  <c:v>1042.3</c:v>
                </c:pt>
                <c:pt idx="1">
                  <c:v>1042.3</c:v>
                </c:pt>
                <c:pt idx="2">
                  <c:v>1042.3</c:v>
                </c:pt>
                <c:pt idx="3">
                  <c:v>1042.3</c:v>
                </c:pt>
                <c:pt idx="4">
                  <c:v>1042.3</c:v>
                </c:pt>
                <c:pt idx="5">
                  <c:v>1042.3</c:v>
                </c:pt>
                <c:pt idx="6">
                  <c:v>1042.3</c:v>
                </c:pt>
                <c:pt idx="7">
                  <c:v>1042.3</c:v>
                </c:pt>
                <c:pt idx="8">
                  <c:v>1042.3</c:v>
                </c:pt>
                <c:pt idx="9">
                  <c:v>1042.3</c:v>
                </c:pt>
                <c:pt idx="10">
                  <c:v>1042.3</c:v>
                </c:pt>
                <c:pt idx="11">
                  <c:v>1042.3</c:v>
                </c:pt>
                <c:pt idx="12">
                  <c:v>1042.3</c:v>
                </c:pt>
                <c:pt idx="13">
                  <c:v>1042.3</c:v>
                </c:pt>
                <c:pt idx="14">
                  <c:v>1042.3</c:v>
                </c:pt>
                <c:pt idx="15">
                  <c:v>1042.3</c:v>
                </c:pt>
                <c:pt idx="16">
                  <c:v>1042.3</c:v>
                </c:pt>
                <c:pt idx="17">
                  <c:v>1042.3</c:v>
                </c:pt>
                <c:pt idx="18">
                  <c:v>868.58333333333337</c:v>
                </c:pt>
                <c:pt idx="19">
                  <c:v>694.86666666666667</c:v>
                </c:pt>
                <c:pt idx="20">
                  <c:v>521.15</c:v>
                </c:pt>
                <c:pt idx="21">
                  <c:v>347.43333333333334</c:v>
                </c:pt>
                <c:pt idx="22">
                  <c:v>173.71666666666667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2"/>
          <c:order val="2"/>
          <c:tx>
            <c:strRef>
              <c:f>'Beregningsark, vind'!$B$310</c:f>
              <c:strCache>
                <c:ptCount val="1"/>
                <c:pt idx="0">
                  <c:v>Landvind, 2014-2019</c:v>
                </c:pt>
              </c:strCache>
            </c:strRef>
          </c:tx>
          <c:cat>
            <c:numRef>
              <c:f>'Beregningsark, vind'!$F$307:$AD$307</c:f>
              <c:numCache>
                <c:formatCode>0</c:formatCode>
                <c:ptCount val="2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</c:numCache>
            </c:numRef>
          </c:cat>
          <c:val>
            <c:numRef>
              <c:f>'Beregningsark, vind'!$F$310:$AD$310</c:f>
              <c:numCache>
                <c:formatCode>#,##0</c:formatCode>
                <c:ptCount val="25"/>
                <c:pt idx="0">
                  <c:v>339.53000000000003</c:v>
                </c:pt>
                <c:pt idx="1">
                  <c:v>549.53</c:v>
                </c:pt>
                <c:pt idx="2">
                  <c:v>759.53</c:v>
                </c:pt>
                <c:pt idx="3">
                  <c:v>950.16889999999989</c:v>
                </c:pt>
                <c:pt idx="4">
                  <c:v>1140.8078</c:v>
                </c:pt>
                <c:pt idx="5">
                  <c:v>1140.8078</c:v>
                </c:pt>
                <c:pt idx="6">
                  <c:v>1140.8078</c:v>
                </c:pt>
                <c:pt idx="7">
                  <c:v>1140.8078</c:v>
                </c:pt>
                <c:pt idx="8">
                  <c:v>1140.8078</c:v>
                </c:pt>
                <c:pt idx="9">
                  <c:v>1140.8078</c:v>
                </c:pt>
                <c:pt idx="10">
                  <c:v>1140.8078</c:v>
                </c:pt>
                <c:pt idx="11">
                  <c:v>1140.8078</c:v>
                </c:pt>
                <c:pt idx="12">
                  <c:v>1140.8078</c:v>
                </c:pt>
                <c:pt idx="13">
                  <c:v>1140.8078</c:v>
                </c:pt>
                <c:pt idx="14">
                  <c:v>1140.8078</c:v>
                </c:pt>
                <c:pt idx="15">
                  <c:v>1140.8078</c:v>
                </c:pt>
                <c:pt idx="16">
                  <c:v>1140.8078</c:v>
                </c:pt>
                <c:pt idx="17">
                  <c:v>1140.8078</c:v>
                </c:pt>
                <c:pt idx="18">
                  <c:v>1140.8078</c:v>
                </c:pt>
                <c:pt idx="19">
                  <c:v>1140.8078</c:v>
                </c:pt>
                <c:pt idx="20">
                  <c:v>1140.8078</c:v>
                </c:pt>
                <c:pt idx="21">
                  <c:v>1140.8078</c:v>
                </c:pt>
                <c:pt idx="22">
                  <c:v>1140.8078</c:v>
                </c:pt>
                <c:pt idx="23">
                  <c:v>1140.8078</c:v>
                </c:pt>
                <c:pt idx="24">
                  <c:v>950.6731666666667</c:v>
                </c:pt>
              </c:numCache>
            </c:numRef>
          </c:val>
        </c:ser>
        <c:ser>
          <c:idx val="3"/>
          <c:order val="3"/>
          <c:tx>
            <c:strRef>
              <c:f>'Beregningsark, vind'!$B$311</c:f>
              <c:strCache>
                <c:ptCount val="1"/>
                <c:pt idx="0">
                  <c:v>Landvind, efter 2020</c:v>
                </c:pt>
              </c:strCache>
            </c:strRef>
          </c:tx>
          <c:cat>
            <c:numRef>
              <c:f>'Beregningsark, vind'!$F$307:$AD$307</c:f>
              <c:numCache>
                <c:formatCode>0</c:formatCode>
                <c:ptCount val="2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</c:numCache>
            </c:numRef>
          </c:cat>
          <c:val>
            <c:numRef>
              <c:f>'Beregningsark, vind'!$F$311:$AD$311</c:f>
              <c:numCache>
                <c:formatCode>#,##0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208.39211428571423</c:v>
                </c:pt>
                <c:pt idx="6">
                  <c:v>416.78422857142846</c:v>
                </c:pt>
                <c:pt idx="7">
                  <c:v>698.24162857142846</c:v>
                </c:pt>
                <c:pt idx="8">
                  <c:v>979.69902857142836</c:v>
                </c:pt>
                <c:pt idx="9">
                  <c:v>1261.1564285714285</c:v>
                </c:pt>
                <c:pt idx="10">
                  <c:v>1542.6138285714283</c:v>
                </c:pt>
                <c:pt idx="11">
                  <c:v>1863.345053061224</c:v>
                </c:pt>
                <c:pt idx="12">
                  <c:v>2184.0762775510202</c:v>
                </c:pt>
                <c:pt idx="13">
                  <c:v>2504.807502040816</c:v>
                </c:pt>
                <c:pt idx="14">
                  <c:v>2825.5387265306117</c:v>
                </c:pt>
                <c:pt idx="15">
                  <c:v>3146.2699510204075</c:v>
                </c:pt>
                <c:pt idx="16">
                  <c:v>3467.0011755102032</c:v>
                </c:pt>
                <c:pt idx="17">
                  <c:v>3787.732399999999</c:v>
                </c:pt>
                <c:pt idx="18">
                  <c:v>4086.4490666666657</c:v>
                </c:pt>
                <c:pt idx="19">
                  <c:v>4385.1657333333324</c:v>
                </c:pt>
                <c:pt idx="20">
                  <c:v>4683.8823999999995</c:v>
                </c:pt>
                <c:pt idx="21">
                  <c:v>4982.5990666666657</c:v>
                </c:pt>
                <c:pt idx="22">
                  <c:v>5281.3157333333329</c:v>
                </c:pt>
                <c:pt idx="23">
                  <c:v>5580.0324000000001</c:v>
                </c:pt>
                <c:pt idx="24">
                  <c:v>5895.1670333333332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518080"/>
        <c:axId val="133519616"/>
      </c:areaChart>
      <c:lineChart>
        <c:grouping val="standard"/>
        <c:varyColors val="0"/>
        <c:ser>
          <c:idx val="4"/>
          <c:order val="4"/>
          <c:tx>
            <c:strRef>
              <c:f>'Beregningsark, vind'!$B$312</c:f>
              <c:strCache>
                <c:ptCount val="1"/>
                <c:pt idx="0">
                  <c:v>Landvind, AF15</c:v>
                </c:pt>
              </c:strCache>
            </c:strRef>
          </c:tx>
          <c:marker>
            <c:symbol val="none"/>
          </c:marker>
          <c:cat>
            <c:numRef>
              <c:f>'Beregningsark, vind'!$F$307:$Y$307</c:f>
              <c:numCache>
                <c:formatCode>0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'Beregningsark, vind'!$F$312:$Y$312</c:f>
              <c:numCache>
                <c:formatCode>#,##0</c:formatCode>
                <c:ptCount val="20"/>
                <c:pt idx="0">
                  <c:v>3770.19</c:v>
                </c:pt>
                <c:pt idx="1">
                  <c:v>3919.8395</c:v>
                </c:pt>
                <c:pt idx="2">
                  <c:v>3969.8395</c:v>
                </c:pt>
                <c:pt idx="3">
                  <c:v>4019.8395000000005</c:v>
                </c:pt>
                <c:pt idx="4">
                  <c:v>4069.8395</c:v>
                </c:pt>
                <c:pt idx="5">
                  <c:v>4119.8395</c:v>
                </c:pt>
                <c:pt idx="6">
                  <c:v>4169.8395</c:v>
                </c:pt>
                <c:pt idx="7">
                  <c:v>4219.8395</c:v>
                </c:pt>
                <c:pt idx="8">
                  <c:v>4269.8395</c:v>
                </c:pt>
                <c:pt idx="9">
                  <c:v>4319.8395</c:v>
                </c:pt>
                <c:pt idx="10">
                  <c:v>4369.8395</c:v>
                </c:pt>
                <c:pt idx="11">
                  <c:v>4419.8395</c:v>
                </c:pt>
                <c:pt idx="12">
                  <c:v>4469.839500000001</c:v>
                </c:pt>
                <c:pt idx="13">
                  <c:v>4519.8395</c:v>
                </c:pt>
                <c:pt idx="14">
                  <c:v>4569.8395</c:v>
                </c:pt>
                <c:pt idx="15">
                  <c:v>4619.8395</c:v>
                </c:pt>
                <c:pt idx="16">
                  <c:v>4626.1895000000004</c:v>
                </c:pt>
                <c:pt idx="17">
                  <c:v>4632.5394999999999</c:v>
                </c:pt>
                <c:pt idx="18">
                  <c:v>4638.8895000000002</c:v>
                </c:pt>
                <c:pt idx="19">
                  <c:v>4645.2394999999997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518080"/>
        <c:axId val="133519616"/>
      </c:lineChart>
      <c:catAx>
        <c:axId val="1335180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133519616"/>
        <c:crosses val="autoZero"/>
        <c:auto val="1"/>
        <c:lblAlgn val="ctr"/>
        <c:lblOffset val="100"/>
        <c:noMultiLvlLbl val="0"/>
      </c:catAx>
      <c:valAx>
        <c:axId val="1335196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a-DK"/>
                  <a:t>MW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crossAx val="133518080"/>
        <c:crosses val="autoZero"/>
        <c:crossBetween val="midCat"/>
      </c:valAx>
    </c:plotArea>
    <c:legend>
      <c:legendPos val="b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Udvikling i hav- og kystvind</a:t>
            </a:r>
          </a:p>
        </c:rich>
      </c:tx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'Beregningsark, vind'!$B$314</c:f>
              <c:strCache>
                <c:ptCount val="1"/>
                <c:pt idx="0">
                  <c:v>Havvind</c:v>
                </c:pt>
              </c:strCache>
            </c:strRef>
          </c:tx>
          <c:cat>
            <c:numRef>
              <c:f>'Beregningsark, vind'!$F$307:$AD$307</c:f>
              <c:numCache>
                <c:formatCode>0</c:formatCode>
                <c:ptCount val="2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</c:numCache>
            </c:numRef>
          </c:cat>
          <c:val>
            <c:numRef>
              <c:f>'Beregningsark, vind'!$F$314:$AD$314</c:f>
              <c:numCache>
                <c:formatCode>#,##0</c:formatCode>
                <c:ptCount val="25"/>
                <c:pt idx="0">
                  <c:v>1141.5</c:v>
                </c:pt>
                <c:pt idx="1">
                  <c:v>1141.5</c:v>
                </c:pt>
                <c:pt idx="2">
                  <c:v>1141.5</c:v>
                </c:pt>
                <c:pt idx="3">
                  <c:v>1548.2</c:v>
                </c:pt>
                <c:pt idx="4">
                  <c:v>1748.2</c:v>
                </c:pt>
                <c:pt idx="5">
                  <c:v>1948.2</c:v>
                </c:pt>
                <c:pt idx="6">
                  <c:v>2148.1999999999998</c:v>
                </c:pt>
                <c:pt idx="7">
                  <c:v>2148.1999999999998</c:v>
                </c:pt>
                <c:pt idx="8">
                  <c:v>2148.1999999999998</c:v>
                </c:pt>
                <c:pt idx="9">
                  <c:v>2148.1999999999998</c:v>
                </c:pt>
                <c:pt idx="10">
                  <c:v>2148.1999999999998</c:v>
                </c:pt>
                <c:pt idx="11">
                  <c:v>2348.1999999999998</c:v>
                </c:pt>
                <c:pt idx="12">
                  <c:v>2388.1999999999998</c:v>
                </c:pt>
                <c:pt idx="13">
                  <c:v>2222.6000000000004</c:v>
                </c:pt>
                <c:pt idx="14">
                  <c:v>2422.6000000000004</c:v>
                </c:pt>
                <c:pt idx="15">
                  <c:v>2622.6000000000004</c:v>
                </c:pt>
                <c:pt idx="16">
                  <c:v>2622.6000000000004</c:v>
                </c:pt>
                <c:pt idx="17">
                  <c:v>2822.6000000000004</c:v>
                </c:pt>
                <c:pt idx="18">
                  <c:v>3022.6000000000004</c:v>
                </c:pt>
                <c:pt idx="19">
                  <c:v>2813.3</c:v>
                </c:pt>
                <c:pt idx="20">
                  <c:v>2806.3</c:v>
                </c:pt>
                <c:pt idx="21">
                  <c:v>3006.3</c:v>
                </c:pt>
                <c:pt idx="22">
                  <c:v>3006.3</c:v>
                </c:pt>
                <c:pt idx="23">
                  <c:v>2806.7</c:v>
                </c:pt>
                <c:pt idx="24">
                  <c:v>3006.7</c:v>
                </c:pt>
              </c:numCache>
            </c:numRef>
          </c:val>
        </c:ser>
        <c:ser>
          <c:idx val="1"/>
          <c:order val="1"/>
          <c:tx>
            <c:strRef>
              <c:f>'Beregningsark, vind'!$B$315</c:f>
              <c:strCache>
                <c:ptCount val="1"/>
                <c:pt idx="0">
                  <c:v>Kystvind</c:v>
                </c:pt>
              </c:strCache>
            </c:strRef>
          </c:tx>
          <c:cat>
            <c:numRef>
              <c:f>'Beregningsark, vind'!$F$307:$AD$307</c:f>
              <c:numCache>
                <c:formatCode>0</c:formatCode>
                <c:ptCount val="2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</c:numCache>
            </c:numRef>
          </c:cat>
          <c:val>
            <c:numRef>
              <c:f>'Beregningsark, vind'!$F$315:$AD$315</c:f>
              <c:numCache>
                <c:formatCode>#,##0</c:formatCode>
                <c:ptCount val="25"/>
                <c:pt idx="0">
                  <c:v>129.55000000000001</c:v>
                </c:pt>
                <c:pt idx="1">
                  <c:v>124.6</c:v>
                </c:pt>
                <c:pt idx="2">
                  <c:v>124.6</c:v>
                </c:pt>
                <c:pt idx="3">
                  <c:v>124.6</c:v>
                </c:pt>
                <c:pt idx="4">
                  <c:v>524.6</c:v>
                </c:pt>
                <c:pt idx="5">
                  <c:v>569.6</c:v>
                </c:pt>
                <c:pt idx="6">
                  <c:v>569.6</c:v>
                </c:pt>
                <c:pt idx="7">
                  <c:v>569.6</c:v>
                </c:pt>
                <c:pt idx="8">
                  <c:v>569.6</c:v>
                </c:pt>
                <c:pt idx="9">
                  <c:v>569.6</c:v>
                </c:pt>
                <c:pt idx="10">
                  <c:v>529.6</c:v>
                </c:pt>
                <c:pt idx="11">
                  <c:v>529.6</c:v>
                </c:pt>
                <c:pt idx="12">
                  <c:v>529.6</c:v>
                </c:pt>
                <c:pt idx="13">
                  <c:v>481.8</c:v>
                </c:pt>
                <c:pt idx="14">
                  <c:v>481.8</c:v>
                </c:pt>
                <c:pt idx="15">
                  <c:v>481.8</c:v>
                </c:pt>
                <c:pt idx="16">
                  <c:v>481.8</c:v>
                </c:pt>
                <c:pt idx="17">
                  <c:v>481.8</c:v>
                </c:pt>
                <c:pt idx="18">
                  <c:v>481.8</c:v>
                </c:pt>
                <c:pt idx="19">
                  <c:v>453.6</c:v>
                </c:pt>
                <c:pt idx="20">
                  <c:v>453.6</c:v>
                </c:pt>
                <c:pt idx="21">
                  <c:v>450</c:v>
                </c:pt>
                <c:pt idx="22">
                  <c:v>450</c:v>
                </c:pt>
                <c:pt idx="23">
                  <c:v>450</c:v>
                </c:pt>
                <c:pt idx="24">
                  <c:v>450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687936"/>
        <c:axId val="133689728"/>
      </c:areaChart>
      <c:lineChart>
        <c:grouping val="standard"/>
        <c:varyColors val="0"/>
        <c:ser>
          <c:idx val="2"/>
          <c:order val="2"/>
          <c:tx>
            <c:strRef>
              <c:f>'Beregningsark, vind'!$B$316</c:f>
              <c:strCache>
                <c:ptCount val="1"/>
                <c:pt idx="0">
                  <c:v>Hav- og kystvind, AF15</c:v>
                </c:pt>
              </c:strCache>
            </c:strRef>
          </c:tx>
          <c:marker>
            <c:symbol val="none"/>
          </c:marker>
          <c:val>
            <c:numRef>
              <c:f>'Beregningsark, vind'!$F$316:$Y$316</c:f>
              <c:numCache>
                <c:formatCode>#,##0</c:formatCode>
                <c:ptCount val="20"/>
                <c:pt idx="0">
                  <c:v>1271.05</c:v>
                </c:pt>
                <c:pt idx="1">
                  <c:v>1271.05</c:v>
                </c:pt>
                <c:pt idx="2">
                  <c:v>1371.05</c:v>
                </c:pt>
                <c:pt idx="3">
                  <c:v>1521.05</c:v>
                </c:pt>
                <c:pt idx="4">
                  <c:v>2271.0500000000002</c:v>
                </c:pt>
                <c:pt idx="5">
                  <c:v>2471.0500000000002</c:v>
                </c:pt>
                <c:pt idx="6">
                  <c:v>2671.05</c:v>
                </c:pt>
                <c:pt idx="7">
                  <c:v>2671.05</c:v>
                </c:pt>
                <c:pt idx="8">
                  <c:v>2671.05</c:v>
                </c:pt>
                <c:pt idx="9">
                  <c:v>2671.05</c:v>
                </c:pt>
                <c:pt idx="10">
                  <c:v>2871.05</c:v>
                </c:pt>
                <c:pt idx="11">
                  <c:v>3071.05</c:v>
                </c:pt>
                <c:pt idx="12">
                  <c:v>3071.05</c:v>
                </c:pt>
                <c:pt idx="13">
                  <c:v>3271.05</c:v>
                </c:pt>
                <c:pt idx="14">
                  <c:v>3471.05</c:v>
                </c:pt>
                <c:pt idx="15">
                  <c:v>3471.05</c:v>
                </c:pt>
                <c:pt idx="16">
                  <c:v>3471.05</c:v>
                </c:pt>
                <c:pt idx="17">
                  <c:v>3471.05</c:v>
                </c:pt>
                <c:pt idx="18">
                  <c:v>3471.05</c:v>
                </c:pt>
                <c:pt idx="19">
                  <c:v>3471.05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687936"/>
        <c:axId val="133689728"/>
      </c:lineChart>
      <c:catAx>
        <c:axId val="1336879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133689728"/>
        <c:crosses val="autoZero"/>
        <c:auto val="1"/>
        <c:lblAlgn val="ctr"/>
        <c:lblOffset val="100"/>
        <c:noMultiLvlLbl val="0"/>
      </c:catAx>
      <c:valAx>
        <c:axId val="1336897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a-DK"/>
                  <a:t>MW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crossAx val="133687936"/>
        <c:crosses val="autoZero"/>
        <c:crossBetween val="midCat"/>
      </c:valAx>
    </c:plotArea>
    <c:legend>
      <c:legendPos val="b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 dirty="0" err="1"/>
              <a:t>Vindandel</a:t>
            </a:r>
            <a:r>
              <a:rPr lang="en-US" sz="1400" dirty="0"/>
              <a:t> </a:t>
            </a:r>
            <a:r>
              <a:rPr lang="en-US" sz="1400" dirty="0" err="1"/>
              <a:t>af</a:t>
            </a:r>
            <a:r>
              <a:rPr lang="en-US" sz="1400" dirty="0"/>
              <a:t> </a:t>
            </a:r>
            <a:r>
              <a:rPr lang="en-US" sz="1400" dirty="0" err="1"/>
              <a:t>samlet</a:t>
            </a:r>
            <a:r>
              <a:rPr lang="en-US" sz="1400" dirty="0"/>
              <a:t> </a:t>
            </a:r>
            <a:r>
              <a:rPr lang="en-US" sz="1400" dirty="0" err="1"/>
              <a:t>elforbrug</a:t>
            </a:r>
            <a:endParaRPr lang="en-US" sz="1400" dirty="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AF2016 - Samlet</c:v>
          </c:tx>
          <c:spPr>
            <a:ln>
              <a:solidFill>
                <a:srgbClr val="8064A2"/>
              </a:solidFill>
            </a:ln>
          </c:spPr>
          <c:marker>
            <c:symbol val="none"/>
          </c:marker>
          <c:cat>
            <c:numRef>
              <c:f>'Beregningsark, vind'!$G$4:$AE$4</c:f>
              <c:numCache>
                <c:formatCode>0</c:formatCode>
                <c:ptCount val="2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</c:numCache>
            </c:numRef>
          </c:cat>
          <c:val>
            <c:numRef>
              <c:f>'Beregningsark, vind'!$G$198:$AE$198</c:f>
              <c:numCache>
                <c:formatCode>0%</c:formatCode>
                <c:ptCount val="25"/>
                <c:pt idx="0">
                  <c:v>0.40972870583771465</c:v>
                </c:pt>
                <c:pt idx="1">
                  <c:v>0.41442924541689091</c:v>
                </c:pt>
                <c:pt idx="2">
                  <c:v>0.41485068049003132</c:v>
                </c:pt>
                <c:pt idx="3">
                  <c:v>0.46455371294230474</c:v>
                </c:pt>
                <c:pt idx="4">
                  <c:v>0.53330255241143265</c:v>
                </c:pt>
                <c:pt idx="5">
                  <c:v>0.56355533064219365</c:v>
                </c:pt>
                <c:pt idx="6">
                  <c:v>0.58469589467451877</c:v>
                </c:pt>
                <c:pt idx="7">
                  <c:v>0.58525373541101966</c:v>
                </c:pt>
                <c:pt idx="8">
                  <c:v>0.59426473573914051</c:v>
                </c:pt>
                <c:pt idx="9">
                  <c:v>0.60415437177757703</c:v>
                </c:pt>
                <c:pt idx="10">
                  <c:v>0.6086639967374472</c:v>
                </c:pt>
                <c:pt idx="11">
                  <c:v>0.6404490111833111</c:v>
                </c:pt>
                <c:pt idx="12">
                  <c:v>0.65815005168022411</c:v>
                </c:pt>
                <c:pt idx="13">
                  <c:v>0.65262935236829711</c:v>
                </c:pt>
                <c:pt idx="14">
                  <c:v>0.68043397943053652</c:v>
                </c:pt>
                <c:pt idx="15">
                  <c:v>0.71237808722313889</c:v>
                </c:pt>
                <c:pt idx="16">
                  <c:v>0.72255641138293947</c:v>
                </c:pt>
                <c:pt idx="17">
                  <c:v>0.75583932091406913</c:v>
                </c:pt>
                <c:pt idx="18">
                  <c:v>0.7843105706547725</c:v>
                </c:pt>
                <c:pt idx="19">
                  <c:v>0.76827862622633758</c:v>
                </c:pt>
                <c:pt idx="20">
                  <c:v>0.77497764845270356</c:v>
                </c:pt>
                <c:pt idx="21">
                  <c:v>0.79799416814010271</c:v>
                </c:pt>
                <c:pt idx="22">
                  <c:v>0.80274603686899071</c:v>
                </c:pt>
                <c:pt idx="23">
                  <c:v>0.7884654032607733</c:v>
                </c:pt>
                <c:pt idx="24">
                  <c:v>0.80927326359147056</c:v>
                </c:pt>
              </c:numCache>
            </c:numRef>
          </c:val>
          <c:smooth val="0"/>
        </c:ser>
        <c:ser>
          <c:idx val="0"/>
          <c:order val="1"/>
          <c:tx>
            <c:v>AF2015 - Samlet</c:v>
          </c:tx>
          <c:spPr>
            <a:ln>
              <a:solidFill>
                <a:srgbClr val="2E5761"/>
              </a:solidFill>
              <a:prstDash val="sysDash"/>
            </a:ln>
          </c:spPr>
          <c:marker>
            <c:symbol val="none"/>
          </c:marker>
          <c:cat>
            <c:numRef>
              <c:f>'Beregningsark, vind'!$G$4:$AE$4</c:f>
              <c:numCache>
                <c:formatCode>0</c:formatCode>
                <c:ptCount val="2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</c:numCache>
            </c:numRef>
          </c:cat>
          <c:val>
            <c:numRef>
              <c:f>'Beregningsark, vind'!$G$225:$Z$225</c:f>
              <c:numCache>
                <c:formatCode>0%</c:formatCode>
                <c:ptCount val="20"/>
                <c:pt idx="0">
                  <c:v>0.39924600828898527</c:v>
                </c:pt>
                <c:pt idx="1">
                  <c:v>0.41252467457295533</c:v>
                </c:pt>
                <c:pt idx="2">
                  <c:v>0.4302939030675732</c:v>
                </c:pt>
                <c:pt idx="3">
                  <c:v>0.45485997747438156</c:v>
                </c:pt>
                <c:pt idx="4">
                  <c:v>0.55011925743617562</c:v>
                </c:pt>
                <c:pt idx="5">
                  <c:v>0.57652520422234643</c:v>
                </c:pt>
                <c:pt idx="6">
                  <c:v>0.60336330975891117</c:v>
                </c:pt>
                <c:pt idx="7">
                  <c:v>0.60996561426786422</c:v>
                </c:pt>
                <c:pt idx="8">
                  <c:v>0.61000956453596822</c:v>
                </c:pt>
                <c:pt idx="9">
                  <c:v>0.61081083503411282</c:v>
                </c:pt>
                <c:pt idx="10">
                  <c:v>0.63315214566900491</c:v>
                </c:pt>
                <c:pt idx="11">
                  <c:v>0.65688127491038217</c:v>
                </c:pt>
                <c:pt idx="12">
                  <c:v>0.6611959612799867</c:v>
                </c:pt>
                <c:pt idx="13">
                  <c:v>0.69108436738399992</c:v>
                </c:pt>
                <c:pt idx="14">
                  <c:v>0.71588381676530199</c:v>
                </c:pt>
                <c:pt idx="15">
                  <c:v>0.7205249547691307</c:v>
                </c:pt>
                <c:pt idx="16">
                  <c:v>0.71768375885966873</c:v>
                </c:pt>
                <c:pt idx="17">
                  <c:v>0.7168082260401335</c:v>
                </c:pt>
                <c:pt idx="18">
                  <c:v>0.71480952071705517</c:v>
                </c:pt>
                <c:pt idx="19">
                  <c:v>0.71150053535728663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77568"/>
        <c:axId val="133279104"/>
      </c:lineChart>
      <c:catAx>
        <c:axId val="133277568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133279104"/>
        <c:crosses val="autoZero"/>
        <c:auto val="1"/>
        <c:lblAlgn val="ctr"/>
        <c:lblOffset val="100"/>
        <c:noMultiLvlLbl val="0"/>
      </c:catAx>
      <c:valAx>
        <c:axId val="13327910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327756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da-DK" sz="1100"/>
              <a:t>Årlig produktion vind (GWh) - sammenligning mellem AF2016 og AF2015</a:t>
            </a:r>
          </a:p>
        </c:rich>
      </c:tx>
      <c:layout>
        <c:manualLayout>
          <c:xMode val="edge"/>
          <c:yMode val="edge"/>
          <c:x val="0.1026585712930462"/>
          <c:y val="1.401050788091068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350757360149258"/>
          <c:y val="7.1886775974369224E-2"/>
          <c:w val="0.87298814154254811"/>
          <c:h val="0.71560801834972032"/>
        </c:manualLayout>
      </c:layout>
      <c:lineChart>
        <c:grouping val="standard"/>
        <c:varyColors val="0"/>
        <c:ser>
          <c:idx val="8"/>
          <c:order val="0"/>
          <c:tx>
            <c:v>Landvind AF16</c:v>
          </c:tx>
          <c:marker>
            <c:symbol val="none"/>
          </c:marker>
          <c:cat>
            <c:multiLvlStrRef>
              <c:f>'Beregningsark, vind'!#REF!</c:f>
            </c:multiLvlStrRef>
          </c:cat>
          <c:val>
            <c:numRef>
              <c:f>'Beregningsark, vind'!$G$189:$AE$189</c:f>
              <c:numCache>
                <c:formatCode>#,##0</c:formatCode>
                <c:ptCount val="25"/>
                <c:pt idx="0">
                  <c:v>8799.424500000001</c:v>
                </c:pt>
                <c:pt idx="1">
                  <c:v>9321.4063783333331</c:v>
                </c:pt>
                <c:pt idx="2">
                  <c:v>9853.2436566666674</c:v>
                </c:pt>
                <c:pt idx="3">
                  <c:v>10322.124303000001</c:v>
                </c:pt>
                <c:pt idx="4">
                  <c:v>10791.004949333334</c:v>
                </c:pt>
                <c:pt idx="5">
                  <c:v>11312.332744952382</c:v>
                </c:pt>
                <c:pt idx="6">
                  <c:v>11833.660540571427</c:v>
                </c:pt>
                <c:pt idx="7">
                  <c:v>12451.645108571429</c:v>
                </c:pt>
                <c:pt idx="8">
                  <c:v>13069.629676571429</c:v>
                </c:pt>
                <c:pt idx="9">
                  <c:v>13687.614244571429</c:v>
                </c:pt>
                <c:pt idx="10">
                  <c:v>14305.598812571428</c:v>
                </c:pt>
                <c:pt idx="11">
                  <c:v>14975.942008489796</c:v>
                </c:pt>
                <c:pt idx="12">
                  <c:v>15646.285204408163</c:v>
                </c:pt>
                <c:pt idx="13">
                  <c:v>16316.628400326532</c:v>
                </c:pt>
                <c:pt idx="14">
                  <c:v>16986.971596244897</c:v>
                </c:pt>
                <c:pt idx="15">
                  <c:v>17657.314792163263</c:v>
                </c:pt>
                <c:pt idx="16">
                  <c:v>18327.657988081628</c:v>
                </c:pt>
                <c:pt idx="17">
                  <c:v>18998.001184000001</c:v>
                </c:pt>
                <c:pt idx="18">
                  <c:v>19466.178017333332</c:v>
                </c:pt>
                <c:pt idx="19">
                  <c:v>19934.354850666663</c:v>
                </c:pt>
                <c:pt idx="20">
                  <c:v>20402.531683999998</c:v>
                </c:pt>
                <c:pt idx="21">
                  <c:v>20870.708517333333</c:v>
                </c:pt>
                <c:pt idx="22">
                  <c:v>21338.885350666664</c:v>
                </c:pt>
                <c:pt idx="23">
                  <c:v>21807.062183999999</c:v>
                </c:pt>
                <c:pt idx="24">
                  <c:v>22244.159728999999</c:v>
                </c:pt>
              </c:numCache>
            </c:numRef>
          </c:val>
          <c:smooth val="0"/>
        </c:ser>
        <c:ser>
          <c:idx val="9"/>
          <c:order val="1"/>
          <c:tx>
            <c:v>Kystvind AF16</c:v>
          </c:tx>
          <c:spPr>
            <a:ln>
              <a:solidFill>
                <a:srgbClr val="4F81BD">
                  <a:lumMod val="40000"/>
                  <a:lumOff val="60000"/>
                </a:srgbClr>
              </a:solidFill>
            </a:ln>
          </c:spPr>
          <c:marker>
            <c:symbol val="none"/>
          </c:marker>
          <c:cat>
            <c:multiLvlStrRef>
              <c:f>'Beregningsark, vind'!#REF!</c:f>
            </c:multiLvlStrRef>
          </c:cat>
          <c:val>
            <c:numRef>
              <c:f>'Beregningsark, vind'!$G$190:$AE$190</c:f>
              <c:numCache>
                <c:formatCode>#,##0</c:formatCode>
                <c:ptCount val="25"/>
                <c:pt idx="0">
                  <c:v>390.57499999999999</c:v>
                </c:pt>
                <c:pt idx="1">
                  <c:v>382.16</c:v>
                </c:pt>
                <c:pt idx="2">
                  <c:v>382.16</c:v>
                </c:pt>
                <c:pt idx="3">
                  <c:v>382.16</c:v>
                </c:pt>
                <c:pt idx="4">
                  <c:v>2079.41</c:v>
                </c:pt>
                <c:pt idx="5">
                  <c:v>2271.66</c:v>
                </c:pt>
                <c:pt idx="6">
                  <c:v>2271.66</c:v>
                </c:pt>
                <c:pt idx="7">
                  <c:v>2271.66</c:v>
                </c:pt>
                <c:pt idx="8">
                  <c:v>2271.66</c:v>
                </c:pt>
                <c:pt idx="9">
                  <c:v>2271.66</c:v>
                </c:pt>
                <c:pt idx="10">
                  <c:v>2179.66</c:v>
                </c:pt>
                <c:pt idx="11">
                  <c:v>2179.66</c:v>
                </c:pt>
                <c:pt idx="12">
                  <c:v>2179.66</c:v>
                </c:pt>
                <c:pt idx="13">
                  <c:v>2006.88</c:v>
                </c:pt>
                <c:pt idx="14">
                  <c:v>2006.88</c:v>
                </c:pt>
                <c:pt idx="15">
                  <c:v>2006.88</c:v>
                </c:pt>
                <c:pt idx="16">
                  <c:v>2006.88</c:v>
                </c:pt>
                <c:pt idx="17">
                  <c:v>2006.88</c:v>
                </c:pt>
                <c:pt idx="18">
                  <c:v>2006.88</c:v>
                </c:pt>
                <c:pt idx="19">
                  <c:v>1915.56</c:v>
                </c:pt>
                <c:pt idx="20">
                  <c:v>1915.56</c:v>
                </c:pt>
                <c:pt idx="21">
                  <c:v>1903.5</c:v>
                </c:pt>
                <c:pt idx="22">
                  <c:v>1903.5</c:v>
                </c:pt>
                <c:pt idx="23">
                  <c:v>1903.5</c:v>
                </c:pt>
                <c:pt idx="24">
                  <c:v>1903.5</c:v>
                </c:pt>
              </c:numCache>
            </c:numRef>
          </c:val>
          <c:smooth val="0"/>
        </c:ser>
        <c:ser>
          <c:idx val="10"/>
          <c:order val="2"/>
          <c:tx>
            <c:v>Havvind AF16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multiLvlStrRef>
              <c:f>'Beregningsark, vind'!#REF!</c:f>
            </c:multiLvlStrRef>
          </c:cat>
          <c:val>
            <c:numRef>
              <c:f>'Beregningsark, vind'!$G$191:$AE$191</c:f>
              <c:numCache>
                <c:formatCode>#,##0</c:formatCode>
                <c:ptCount val="25"/>
                <c:pt idx="0">
                  <c:v>4717.76</c:v>
                </c:pt>
                <c:pt idx="1">
                  <c:v>4717.76</c:v>
                </c:pt>
                <c:pt idx="2">
                  <c:v>4717.76</c:v>
                </c:pt>
                <c:pt idx="3">
                  <c:v>6547.91</c:v>
                </c:pt>
                <c:pt idx="4">
                  <c:v>7397.91</c:v>
                </c:pt>
                <c:pt idx="5">
                  <c:v>8247.91</c:v>
                </c:pt>
                <c:pt idx="6">
                  <c:v>9097.91</c:v>
                </c:pt>
                <c:pt idx="7">
                  <c:v>9097.91</c:v>
                </c:pt>
                <c:pt idx="8">
                  <c:v>9097.91</c:v>
                </c:pt>
                <c:pt idx="9">
                  <c:v>9097.91</c:v>
                </c:pt>
                <c:pt idx="10">
                  <c:v>9097.91</c:v>
                </c:pt>
                <c:pt idx="11">
                  <c:v>10017.91</c:v>
                </c:pt>
                <c:pt idx="12">
                  <c:v>10297.91</c:v>
                </c:pt>
                <c:pt idx="13">
                  <c:v>9726.59</c:v>
                </c:pt>
                <c:pt idx="14">
                  <c:v>10646.59</c:v>
                </c:pt>
                <c:pt idx="15">
                  <c:v>11566.59</c:v>
                </c:pt>
                <c:pt idx="16">
                  <c:v>11566.59</c:v>
                </c:pt>
                <c:pt idx="17">
                  <c:v>12506.59</c:v>
                </c:pt>
                <c:pt idx="18">
                  <c:v>13446.59</c:v>
                </c:pt>
                <c:pt idx="19">
                  <c:v>12525.67</c:v>
                </c:pt>
                <c:pt idx="20">
                  <c:v>12578.369999999999</c:v>
                </c:pt>
                <c:pt idx="21">
                  <c:v>13438.369999999999</c:v>
                </c:pt>
                <c:pt idx="22">
                  <c:v>13438.369999999999</c:v>
                </c:pt>
                <c:pt idx="23">
                  <c:v>12600.15</c:v>
                </c:pt>
                <c:pt idx="24">
                  <c:v>13540.15</c:v>
                </c:pt>
              </c:numCache>
            </c:numRef>
          </c:val>
          <c:smooth val="0"/>
        </c:ser>
        <c:ser>
          <c:idx val="11"/>
          <c:order val="3"/>
          <c:tx>
            <c:v>Samlet produktion AF16</c:v>
          </c:tx>
          <c:spPr>
            <a:ln>
              <a:solidFill>
                <a:srgbClr val="8064A2"/>
              </a:solidFill>
            </a:ln>
          </c:spPr>
          <c:marker>
            <c:symbol val="none"/>
          </c:marker>
          <c:cat>
            <c:multiLvlStrRef>
              <c:f>'Beregningsark, vind'!#REF!</c:f>
            </c:multiLvlStrRef>
          </c:cat>
          <c:val>
            <c:numRef>
              <c:f>'Beregningsark, vind'!$G$192:$AE$192</c:f>
              <c:numCache>
                <c:formatCode>#,##0</c:formatCode>
                <c:ptCount val="25"/>
                <c:pt idx="0">
                  <c:v>13907.759500000002</c:v>
                </c:pt>
                <c:pt idx="1">
                  <c:v>14421.326378333333</c:v>
                </c:pt>
                <c:pt idx="2">
                  <c:v>14953.163656666668</c:v>
                </c:pt>
                <c:pt idx="3">
                  <c:v>17252.194303</c:v>
                </c:pt>
                <c:pt idx="4">
                  <c:v>20268.324949333335</c:v>
                </c:pt>
                <c:pt idx="5">
                  <c:v>21831.902744952382</c:v>
                </c:pt>
                <c:pt idx="6">
                  <c:v>23203.230540571429</c:v>
                </c:pt>
                <c:pt idx="7">
                  <c:v>23821.215108571429</c:v>
                </c:pt>
                <c:pt idx="8">
                  <c:v>24439.199676571428</c:v>
                </c:pt>
                <c:pt idx="9">
                  <c:v>25057.184244571428</c:v>
                </c:pt>
                <c:pt idx="10">
                  <c:v>25583.168812571428</c:v>
                </c:pt>
                <c:pt idx="11">
                  <c:v>27173.512008489797</c:v>
                </c:pt>
                <c:pt idx="12">
                  <c:v>28123.855204408163</c:v>
                </c:pt>
                <c:pt idx="13">
                  <c:v>28050.098400326533</c:v>
                </c:pt>
                <c:pt idx="14">
                  <c:v>29640.441596244898</c:v>
                </c:pt>
                <c:pt idx="15">
                  <c:v>31230.784792163264</c:v>
                </c:pt>
                <c:pt idx="16">
                  <c:v>31901.127988081629</c:v>
                </c:pt>
                <c:pt idx="17">
                  <c:v>33511.471184000002</c:v>
                </c:pt>
                <c:pt idx="18">
                  <c:v>34919.648017333333</c:v>
                </c:pt>
                <c:pt idx="19">
                  <c:v>34375.584850666666</c:v>
                </c:pt>
                <c:pt idx="20">
                  <c:v>34896.461683999994</c:v>
                </c:pt>
                <c:pt idx="21">
                  <c:v>36212.578517333328</c:v>
                </c:pt>
                <c:pt idx="22">
                  <c:v>36680.755350666659</c:v>
                </c:pt>
                <c:pt idx="23">
                  <c:v>36310.712183999996</c:v>
                </c:pt>
                <c:pt idx="24">
                  <c:v>37687.809729000001</c:v>
                </c:pt>
              </c:numCache>
            </c:numRef>
          </c:val>
          <c:smooth val="0"/>
        </c:ser>
        <c:ser>
          <c:idx val="0"/>
          <c:order val="4"/>
          <c:tx>
            <c:v>Landvind AF15</c:v>
          </c:tx>
          <c:spPr>
            <a:ln>
              <a:solidFill>
                <a:srgbClr val="81B442"/>
              </a:solidFill>
              <a:prstDash val="sysDash"/>
            </a:ln>
          </c:spPr>
          <c:marker>
            <c:symbol val="none"/>
          </c:marker>
          <c:cat>
            <c:multiLvlStrRef>
              <c:f>'Beregningsark, vind'!#REF!</c:f>
            </c:multiLvlStrRef>
          </c:cat>
          <c:val>
            <c:numRef>
              <c:f>'Beregningsark, vind'!$G$216:$Z$216</c:f>
              <c:numCache>
                <c:formatCode>#,##0</c:formatCode>
                <c:ptCount val="20"/>
                <c:pt idx="0">
                  <c:v>8722.0905000000002</c:v>
                </c:pt>
                <c:pt idx="1">
                  <c:v>9322.0846249999995</c:v>
                </c:pt>
                <c:pt idx="2">
                  <c:v>9665.387839285715</c:v>
                </c:pt>
                <c:pt idx="3">
                  <c:v>10008.691053571429</c:v>
                </c:pt>
                <c:pt idx="4">
                  <c:v>10351.994267857142</c:v>
                </c:pt>
                <c:pt idx="5">
                  <c:v>10727.293553571428</c:v>
                </c:pt>
                <c:pt idx="6">
                  <c:v>11102.592839285713</c:v>
                </c:pt>
                <c:pt idx="7">
                  <c:v>11477.892125000002</c:v>
                </c:pt>
                <c:pt idx="8">
                  <c:v>11853.191410714286</c:v>
                </c:pt>
                <c:pt idx="9">
                  <c:v>12228.490696428573</c:v>
                </c:pt>
                <c:pt idx="10">
                  <c:v>12603.789982142856</c:v>
                </c:pt>
                <c:pt idx="11">
                  <c:v>12979.089267857144</c:v>
                </c:pt>
                <c:pt idx="12">
                  <c:v>13354.388553571429</c:v>
                </c:pt>
                <c:pt idx="13">
                  <c:v>13729.687839285714</c:v>
                </c:pt>
                <c:pt idx="14">
                  <c:v>14104.987125</c:v>
                </c:pt>
                <c:pt idx="15">
                  <c:v>14480.286410714287</c:v>
                </c:pt>
                <c:pt idx="16">
                  <c:v>14569.081410714287</c:v>
                </c:pt>
                <c:pt idx="17">
                  <c:v>14657.876410714285</c:v>
                </c:pt>
                <c:pt idx="18">
                  <c:v>14746.671410714287</c:v>
                </c:pt>
                <c:pt idx="19">
                  <c:v>14835.466410714287</c:v>
                </c:pt>
              </c:numCache>
            </c:numRef>
          </c:val>
          <c:smooth val="0"/>
        </c:ser>
        <c:ser>
          <c:idx val="1"/>
          <c:order val="5"/>
          <c:tx>
            <c:v>Kystvind AF15</c:v>
          </c:tx>
          <c:spPr>
            <a:ln>
              <a:solidFill>
                <a:srgbClr val="4F81BD">
                  <a:lumMod val="40000"/>
                  <a:lumOff val="60000"/>
                </a:srgbClr>
              </a:solidFill>
              <a:prstDash val="sysDash"/>
            </a:ln>
          </c:spPr>
          <c:marker>
            <c:symbol val="none"/>
          </c:marker>
          <c:cat>
            <c:multiLvlStrRef>
              <c:f>'Beregningsark, vind'!#REF!</c:f>
            </c:multiLvlStrRef>
          </c:cat>
          <c:val>
            <c:numRef>
              <c:f>'Beregningsark, vind'!$G$217:$Z$217</c:f>
              <c:numCache>
                <c:formatCode>#,##0</c:formatCode>
                <c:ptCount val="20"/>
                <c:pt idx="0">
                  <c:v>397.04499999999996</c:v>
                </c:pt>
                <c:pt idx="1">
                  <c:v>397.04499999999996</c:v>
                </c:pt>
                <c:pt idx="2">
                  <c:v>397.04499999999996</c:v>
                </c:pt>
                <c:pt idx="3">
                  <c:v>397.04499999999996</c:v>
                </c:pt>
                <c:pt idx="4">
                  <c:v>2100.7950000000001</c:v>
                </c:pt>
                <c:pt idx="5">
                  <c:v>2100.7950000000001</c:v>
                </c:pt>
                <c:pt idx="6">
                  <c:v>2100.7950000000001</c:v>
                </c:pt>
                <c:pt idx="7">
                  <c:v>2100.7950000000001</c:v>
                </c:pt>
                <c:pt idx="8">
                  <c:v>2100.7950000000001</c:v>
                </c:pt>
                <c:pt idx="9">
                  <c:v>2148.7950000000001</c:v>
                </c:pt>
                <c:pt idx="10">
                  <c:v>2148.7950000000001</c:v>
                </c:pt>
                <c:pt idx="11">
                  <c:v>2148.7950000000001</c:v>
                </c:pt>
                <c:pt idx="12">
                  <c:v>2173.1549999999997</c:v>
                </c:pt>
                <c:pt idx="13">
                  <c:v>2173.1549999999997</c:v>
                </c:pt>
                <c:pt idx="14">
                  <c:v>2173.1549999999997</c:v>
                </c:pt>
                <c:pt idx="15">
                  <c:v>2173.1549999999997</c:v>
                </c:pt>
                <c:pt idx="16">
                  <c:v>2173.1549999999997</c:v>
                </c:pt>
                <c:pt idx="17">
                  <c:v>2173.1549999999997</c:v>
                </c:pt>
                <c:pt idx="18">
                  <c:v>2181.585</c:v>
                </c:pt>
                <c:pt idx="19">
                  <c:v>2181.585</c:v>
                </c:pt>
              </c:numCache>
            </c:numRef>
          </c:val>
          <c:smooth val="0"/>
        </c:ser>
        <c:ser>
          <c:idx val="2"/>
          <c:order val="6"/>
          <c:tx>
            <c:v>Havvind AF15</c:v>
          </c:tx>
          <c:spPr>
            <a:ln>
              <a:solidFill>
                <a:srgbClr val="0070C0"/>
              </a:solidFill>
              <a:prstDash val="sysDash"/>
            </a:ln>
          </c:spPr>
          <c:marker>
            <c:symbol val="none"/>
          </c:marker>
          <c:cat>
            <c:multiLvlStrRef>
              <c:f>'Beregningsark, vind'!#REF!</c:f>
            </c:multiLvlStrRef>
          </c:cat>
          <c:val>
            <c:numRef>
              <c:f>'Beregningsark, vind'!$G$218:$Z$218</c:f>
              <c:numCache>
                <c:formatCode>#,##0</c:formatCode>
                <c:ptCount val="20"/>
                <c:pt idx="0">
                  <c:v>4642.4250000000002</c:v>
                </c:pt>
                <c:pt idx="1">
                  <c:v>4642.4250000000002</c:v>
                </c:pt>
                <c:pt idx="2">
                  <c:v>5092.4250000000002</c:v>
                </c:pt>
                <c:pt idx="3">
                  <c:v>5767.4250000000002</c:v>
                </c:pt>
                <c:pt idx="4">
                  <c:v>7292.4250000000002</c:v>
                </c:pt>
                <c:pt idx="5">
                  <c:v>8142.4250000000002</c:v>
                </c:pt>
                <c:pt idx="6">
                  <c:v>9120.4249999999993</c:v>
                </c:pt>
                <c:pt idx="7">
                  <c:v>9286.0249999999996</c:v>
                </c:pt>
                <c:pt idx="8">
                  <c:v>9286.0249999999996</c:v>
                </c:pt>
                <c:pt idx="9">
                  <c:v>9286.0249999999996</c:v>
                </c:pt>
                <c:pt idx="10">
                  <c:v>10226.025</c:v>
                </c:pt>
                <c:pt idx="11">
                  <c:v>11166.025</c:v>
                </c:pt>
                <c:pt idx="12">
                  <c:v>11166.025</c:v>
                </c:pt>
                <c:pt idx="13">
                  <c:v>12179.279999999999</c:v>
                </c:pt>
                <c:pt idx="14">
                  <c:v>13202.08</c:v>
                </c:pt>
                <c:pt idx="15">
                  <c:v>13202.08</c:v>
                </c:pt>
                <c:pt idx="16">
                  <c:v>13202.08</c:v>
                </c:pt>
                <c:pt idx="17">
                  <c:v>13202.08</c:v>
                </c:pt>
                <c:pt idx="18">
                  <c:v>13202.08</c:v>
                </c:pt>
                <c:pt idx="19">
                  <c:v>13202.08</c:v>
                </c:pt>
              </c:numCache>
            </c:numRef>
          </c:val>
          <c:smooth val="0"/>
        </c:ser>
        <c:ser>
          <c:idx val="3"/>
          <c:order val="7"/>
          <c:tx>
            <c:v>Samlet produktion AF15</c:v>
          </c:tx>
          <c:spPr>
            <a:ln>
              <a:solidFill>
                <a:srgbClr val="8064A2"/>
              </a:solidFill>
              <a:prstDash val="sysDash"/>
            </a:ln>
          </c:spPr>
          <c:marker>
            <c:symbol val="none"/>
          </c:marker>
          <c:cat>
            <c:multiLvlStrRef>
              <c:f>'Beregningsark, vind'!#REF!</c:f>
            </c:multiLvlStrRef>
          </c:cat>
          <c:val>
            <c:numRef>
              <c:f>'Beregningsark, vind'!$G$219:$Z$219</c:f>
              <c:numCache>
                <c:formatCode>#,##0</c:formatCode>
                <c:ptCount val="20"/>
                <c:pt idx="0">
                  <c:v>13761.5605</c:v>
                </c:pt>
                <c:pt idx="1">
                  <c:v>14361.554625000001</c:v>
                </c:pt>
                <c:pt idx="2">
                  <c:v>15154.857839285716</c:v>
                </c:pt>
                <c:pt idx="3">
                  <c:v>16173.161053571428</c:v>
                </c:pt>
                <c:pt idx="4">
                  <c:v>19745.214267857144</c:v>
                </c:pt>
                <c:pt idx="5">
                  <c:v>20970.513553571429</c:v>
                </c:pt>
                <c:pt idx="6">
                  <c:v>22323.812839285711</c:v>
                </c:pt>
                <c:pt idx="7">
                  <c:v>22864.712125000002</c:v>
                </c:pt>
                <c:pt idx="8">
                  <c:v>23240.011410714287</c:v>
                </c:pt>
                <c:pt idx="9">
                  <c:v>23663.310696428573</c:v>
                </c:pt>
                <c:pt idx="10">
                  <c:v>24978.609982142858</c:v>
                </c:pt>
                <c:pt idx="11">
                  <c:v>26293.909267857143</c:v>
                </c:pt>
                <c:pt idx="12">
                  <c:v>26693.568553571429</c:v>
                </c:pt>
                <c:pt idx="13">
                  <c:v>28082.122839285712</c:v>
                </c:pt>
                <c:pt idx="14">
                  <c:v>29480.222125</c:v>
                </c:pt>
                <c:pt idx="15">
                  <c:v>29855.521410714289</c:v>
                </c:pt>
                <c:pt idx="16">
                  <c:v>29944.316410714287</c:v>
                </c:pt>
                <c:pt idx="17">
                  <c:v>30033.111410714286</c:v>
                </c:pt>
                <c:pt idx="18">
                  <c:v>30130.336410714284</c:v>
                </c:pt>
                <c:pt idx="19">
                  <c:v>30219.13141071429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854336"/>
        <c:axId val="133855872"/>
      </c:lineChart>
      <c:catAx>
        <c:axId val="133854336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/>
            </a:pPr>
            <a:endParaRPr lang="da-DK"/>
          </a:p>
        </c:txPr>
        <c:crossAx val="133855872"/>
        <c:crosses val="autoZero"/>
        <c:auto val="1"/>
        <c:lblAlgn val="ctr"/>
        <c:lblOffset val="100"/>
        <c:noMultiLvlLbl val="0"/>
      </c:catAx>
      <c:valAx>
        <c:axId val="1338558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GWh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33854336"/>
        <c:crosses val="autoZero"/>
        <c:crossBetween val="midCat"/>
        <c:majorUnit val="5000"/>
      </c:valAx>
    </c:plotArea>
    <c:legend>
      <c:legendPos val="b"/>
      <c:layout>
        <c:manualLayout>
          <c:xMode val="edge"/>
          <c:yMode val="edge"/>
          <c:x val="0"/>
          <c:y val="0.85541652302218785"/>
          <c:w val="1"/>
          <c:h val="0.13877169031629363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>
      <a:solidFill>
        <a:srgbClr val="1F497D"/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Fremskrivning af CO2-kvotepriser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'CO2, SO2 og NOx priser'!$C$6</c:f>
              <c:strCache>
                <c:ptCount val="1"/>
                <c:pt idx="0">
                  <c:v>CO2</c:v>
                </c:pt>
              </c:strCache>
            </c:strRef>
          </c:tx>
          <c:marker>
            <c:symbol val="none"/>
          </c:marker>
          <c:cat>
            <c:numRef>
              <c:f>'CO2, SO2 og NOx priser'!$B$7:$B$31</c:f>
              <c:numCache>
                <c:formatCode>General</c:formatCode>
                <c:ptCount val="2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</c:numCache>
            </c:numRef>
          </c:cat>
          <c:val>
            <c:numRef>
              <c:f>'CO2, SO2 og NOx priser'!$C$7:$C$31</c:f>
              <c:numCache>
                <c:formatCode>0.0</c:formatCode>
                <c:ptCount val="25"/>
                <c:pt idx="0">
                  <c:v>36.399919999999995</c:v>
                </c:pt>
                <c:pt idx="1">
                  <c:v>36.069011972789546</c:v>
                </c:pt>
                <c:pt idx="2">
                  <c:v>35.755107066154515</c:v>
                </c:pt>
                <c:pt idx="3">
                  <c:v>42.052424228482295</c:v>
                </c:pt>
                <c:pt idx="4">
                  <c:v>50.843248405421292</c:v>
                </c:pt>
                <c:pt idx="5">
                  <c:v>61.060107923949296</c:v>
                </c:pt>
                <c:pt idx="6">
                  <c:v>72.871266306403768</c:v>
                </c:pt>
                <c:pt idx="7">
                  <c:v>86.165050812472259</c:v>
                </c:pt>
                <c:pt idx="8">
                  <c:v>100.85911043128995</c:v>
                </c:pt>
                <c:pt idx="9">
                  <c:v>116.85079756018348</c:v>
                </c:pt>
                <c:pt idx="10">
                  <c:v>134.04389653019243</c:v>
                </c:pt>
                <c:pt idx="11">
                  <c:v>152.35200498691637</c:v>
                </c:pt>
                <c:pt idx="12">
                  <c:v>171.66599713132572</c:v>
                </c:pt>
                <c:pt idx="13">
                  <c:v>191.93473063162006</c:v>
                </c:pt>
                <c:pt idx="14">
                  <c:v>213.1836215037298</c:v>
                </c:pt>
                <c:pt idx="15">
                  <c:v>222.46001427832815</c:v>
                </c:pt>
                <c:pt idx="16">
                  <c:v>231.27307362048566</c:v>
                </c:pt>
                <c:pt idx="17">
                  <c:v>239.65722855378073</c:v>
                </c:pt>
                <c:pt idx="18">
                  <c:v>247.64567863956367</c:v>
                </c:pt>
                <c:pt idx="19">
                  <c:v>255.2622491819651</c:v>
                </c:pt>
                <c:pt idx="20">
                  <c:v>262.50431954552585</c:v>
                </c:pt>
                <c:pt idx="21">
                  <c:v>269.40174536820143</c:v>
                </c:pt>
                <c:pt idx="22">
                  <c:v>275.95046963780351</c:v>
                </c:pt>
                <c:pt idx="23">
                  <c:v>282.17347114242222</c:v>
                </c:pt>
                <c:pt idx="24">
                  <c:v>288.08597500504038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580544"/>
        <c:axId val="117582080"/>
      </c:lineChart>
      <c:catAx>
        <c:axId val="117580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7582080"/>
        <c:crosses val="autoZero"/>
        <c:auto val="1"/>
        <c:lblAlgn val="ctr"/>
        <c:lblOffset val="100"/>
        <c:noMultiLvlLbl val="0"/>
      </c:catAx>
      <c:valAx>
        <c:axId val="1175820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a-DK"/>
                  <a:t>DKK2016/ton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1758054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Fremskrivning</a:t>
            </a:r>
            <a:r>
              <a:rPr lang="da-DK" baseline="0"/>
              <a:t> af e</a:t>
            </a:r>
            <a:r>
              <a:rPr lang="da-DK"/>
              <a:t>lpriser for</a:t>
            </a:r>
            <a:r>
              <a:rPr lang="da-DK" baseline="0"/>
              <a:t> Danmarks naboområder</a:t>
            </a:r>
            <a:endParaRPr lang="da-DK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Elpriser!$F$6</c:f>
              <c:strCache>
                <c:ptCount val="1"/>
                <c:pt idx="0">
                  <c:v>NSY</c:v>
                </c:pt>
              </c:strCache>
            </c:strRef>
          </c:tx>
          <c:marker>
            <c:symbol val="none"/>
          </c:marker>
          <c:cat>
            <c:numRef>
              <c:f>Elpriser!$B$7:$B$31</c:f>
              <c:numCache>
                <c:formatCode>General</c:formatCode>
                <c:ptCount val="2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</c:numCache>
            </c:numRef>
          </c:cat>
          <c:val>
            <c:numRef>
              <c:f>Elpriser!$F$7:$F$31</c:f>
              <c:numCache>
                <c:formatCode>0</c:formatCode>
                <c:ptCount val="25"/>
                <c:pt idx="0">
                  <c:v>129.08821333333336</c:v>
                </c:pt>
                <c:pt idx="1">
                  <c:v>125.05259088237955</c:v>
                </c:pt>
                <c:pt idx="2">
                  <c:v>119.99697702000785</c:v>
                </c:pt>
                <c:pt idx="3">
                  <c:v>162.21679773487847</c:v>
                </c:pt>
                <c:pt idx="4">
                  <c:v>204.43661844974906</c:v>
                </c:pt>
                <c:pt idx="5">
                  <c:v>225.56266822410251</c:v>
                </c:pt>
                <c:pt idx="6">
                  <c:v>246.68871799845596</c:v>
                </c:pt>
                <c:pt idx="7">
                  <c:v>267.81476777280943</c:v>
                </c:pt>
                <c:pt idx="8">
                  <c:v>288.94081754716291</c:v>
                </c:pt>
                <c:pt idx="9">
                  <c:v>310.06686732151638</c:v>
                </c:pt>
                <c:pt idx="10">
                  <c:v>331.19291709586986</c:v>
                </c:pt>
                <c:pt idx="11">
                  <c:v>352.31896687022333</c:v>
                </c:pt>
                <c:pt idx="12">
                  <c:v>373.44501664457681</c:v>
                </c:pt>
                <c:pt idx="13">
                  <c:v>394.57106641893029</c:v>
                </c:pt>
                <c:pt idx="14">
                  <c:v>415.69711619328359</c:v>
                </c:pt>
                <c:pt idx="15">
                  <c:v>426.2601410804603</c:v>
                </c:pt>
                <c:pt idx="16">
                  <c:v>436.82316596763701</c:v>
                </c:pt>
                <c:pt idx="17">
                  <c:v>447.38619085481372</c:v>
                </c:pt>
                <c:pt idx="18">
                  <c:v>457.94921574199043</c:v>
                </c:pt>
                <c:pt idx="19">
                  <c:v>468.51224062916714</c:v>
                </c:pt>
                <c:pt idx="20">
                  <c:v>479.07526551634385</c:v>
                </c:pt>
                <c:pt idx="21">
                  <c:v>489.63829040352056</c:v>
                </c:pt>
                <c:pt idx="22">
                  <c:v>500.20131529069727</c:v>
                </c:pt>
                <c:pt idx="23">
                  <c:v>510.76434017787398</c:v>
                </c:pt>
                <c:pt idx="24">
                  <c:v>521.32736506505069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Elpriser!$G$6</c:f>
              <c:strCache>
                <c:ptCount val="1"/>
                <c:pt idx="0">
                  <c:v>SE3</c:v>
                </c:pt>
              </c:strCache>
            </c:strRef>
          </c:tx>
          <c:marker>
            <c:symbol val="none"/>
          </c:marker>
          <c:cat>
            <c:numRef>
              <c:f>Elpriser!$B$7:$B$31</c:f>
              <c:numCache>
                <c:formatCode>General</c:formatCode>
                <c:ptCount val="2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</c:numCache>
            </c:numRef>
          </c:cat>
          <c:val>
            <c:numRef>
              <c:f>Elpriser!$G$7:$G$31</c:f>
              <c:numCache>
                <c:formatCode>0</c:formatCode>
                <c:ptCount val="25"/>
                <c:pt idx="0">
                  <c:v>152.79829333333336</c:v>
                </c:pt>
                <c:pt idx="1">
                  <c:v>142.67597421283818</c:v>
                </c:pt>
                <c:pt idx="2">
                  <c:v>140.0921645592436</c:v>
                </c:pt>
                <c:pt idx="3">
                  <c:v>171.38588640115131</c:v>
                </c:pt>
                <c:pt idx="4">
                  <c:v>202.67960824305902</c:v>
                </c:pt>
                <c:pt idx="5">
                  <c:v>222.68471582838433</c:v>
                </c:pt>
                <c:pt idx="6">
                  <c:v>242.68982341370963</c:v>
                </c:pt>
                <c:pt idx="7">
                  <c:v>262.69493099903491</c:v>
                </c:pt>
                <c:pt idx="8">
                  <c:v>282.70003858436019</c:v>
                </c:pt>
                <c:pt idx="9">
                  <c:v>302.70514616968546</c:v>
                </c:pt>
                <c:pt idx="10">
                  <c:v>322.71025375501074</c:v>
                </c:pt>
                <c:pt idx="11">
                  <c:v>342.71536134033602</c:v>
                </c:pt>
                <c:pt idx="12">
                  <c:v>362.72046892566129</c:v>
                </c:pt>
                <c:pt idx="13">
                  <c:v>382.72557651098657</c:v>
                </c:pt>
                <c:pt idx="14">
                  <c:v>402.73068409631196</c:v>
                </c:pt>
                <c:pt idx="15">
                  <c:v>412.7332378889746</c:v>
                </c:pt>
                <c:pt idx="16">
                  <c:v>422.73579168163724</c:v>
                </c:pt>
                <c:pt idx="17">
                  <c:v>432.73834547429988</c:v>
                </c:pt>
                <c:pt idx="18">
                  <c:v>442.74089926696251</c:v>
                </c:pt>
                <c:pt idx="19">
                  <c:v>452.74345305962515</c:v>
                </c:pt>
                <c:pt idx="20">
                  <c:v>462.74600685228779</c:v>
                </c:pt>
                <c:pt idx="21">
                  <c:v>472.74856064495043</c:v>
                </c:pt>
                <c:pt idx="22">
                  <c:v>482.75111443761307</c:v>
                </c:pt>
                <c:pt idx="23">
                  <c:v>492.75366823027571</c:v>
                </c:pt>
                <c:pt idx="24">
                  <c:v>502.75622202293835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Elpriser!$H$6</c:f>
              <c:strCache>
                <c:ptCount val="1"/>
                <c:pt idx="0">
                  <c:v>SE4</c:v>
                </c:pt>
              </c:strCache>
            </c:strRef>
          </c:tx>
          <c:marker>
            <c:symbol val="none"/>
          </c:marker>
          <c:cat>
            <c:numRef>
              <c:f>Elpriser!$B$7:$B$31</c:f>
              <c:numCache>
                <c:formatCode>General</c:formatCode>
                <c:ptCount val="2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</c:numCache>
            </c:numRef>
          </c:cat>
          <c:val>
            <c:numRef>
              <c:f>Elpriser!$H$7:$H$31</c:f>
              <c:numCache>
                <c:formatCode>0</c:formatCode>
                <c:ptCount val="25"/>
                <c:pt idx="0">
                  <c:v>158.14176</c:v>
                </c:pt>
                <c:pt idx="1">
                  <c:v>149.65189678114476</c:v>
                </c:pt>
                <c:pt idx="2">
                  <c:v>144.75711880942333</c:v>
                </c:pt>
                <c:pt idx="3">
                  <c:v>173.81034962255416</c:v>
                </c:pt>
                <c:pt idx="4">
                  <c:v>202.86358043568495</c:v>
                </c:pt>
                <c:pt idx="5">
                  <c:v>222.85662705749417</c:v>
                </c:pt>
                <c:pt idx="6">
                  <c:v>242.84967367930338</c:v>
                </c:pt>
                <c:pt idx="7">
                  <c:v>262.84272030111259</c:v>
                </c:pt>
                <c:pt idx="8">
                  <c:v>282.83576692292183</c:v>
                </c:pt>
                <c:pt idx="9">
                  <c:v>302.82881354473108</c:v>
                </c:pt>
                <c:pt idx="10">
                  <c:v>322.82186016654032</c:v>
                </c:pt>
                <c:pt idx="11">
                  <c:v>342.81490678834956</c:v>
                </c:pt>
                <c:pt idx="12">
                  <c:v>362.8079534101588</c:v>
                </c:pt>
                <c:pt idx="13">
                  <c:v>382.80100003196804</c:v>
                </c:pt>
                <c:pt idx="14">
                  <c:v>402.79404665377712</c:v>
                </c:pt>
                <c:pt idx="15">
                  <c:v>412.79056996468171</c:v>
                </c:pt>
                <c:pt idx="16">
                  <c:v>422.7870932755863</c:v>
                </c:pt>
                <c:pt idx="17">
                  <c:v>432.78361658649089</c:v>
                </c:pt>
                <c:pt idx="18">
                  <c:v>442.78013989739549</c:v>
                </c:pt>
                <c:pt idx="19">
                  <c:v>452.77666320830008</c:v>
                </c:pt>
                <c:pt idx="20">
                  <c:v>462.77318651920467</c:v>
                </c:pt>
                <c:pt idx="21">
                  <c:v>472.76970983010926</c:v>
                </c:pt>
                <c:pt idx="22">
                  <c:v>482.76623314101386</c:v>
                </c:pt>
                <c:pt idx="23">
                  <c:v>492.76275645191845</c:v>
                </c:pt>
                <c:pt idx="24">
                  <c:v>502.75927976282304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Elpriser!$I$6</c:f>
              <c:strCache>
                <c:ptCount val="1"/>
                <c:pt idx="0">
                  <c:v>DE</c:v>
                </c:pt>
              </c:strCache>
            </c:strRef>
          </c:tx>
          <c:marker>
            <c:symbol val="none"/>
          </c:marker>
          <c:cat>
            <c:numRef>
              <c:f>Elpriser!$B$7:$B$31</c:f>
              <c:numCache>
                <c:formatCode>General</c:formatCode>
                <c:ptCount val="2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</c:numCache>
            </c:numRef>
          </c:cat>
          <c:val>
            <c:numRef>
              <c:f>Elpriser!$I$7:$I$31</c:f>
              <c:numCache>
                <c:formatCode>0</c:formatCode>
                <c:ptCount val="25"/>
                <c:pt idx="0">
                  <c:v>171.68682666666669</c:v>
                </c:pt>
                <c:pt idx="1">
                  <c:v>158.24329615474335</c:v>
                </c:pt>
                <c:pt idx="2">
                  <c:v>147.05371167105028</c:v>
                </c:pt>
                <c:pt idx="3">
                  <c:v>177.93007331766998</c:v>
                </c:pt>
                <c:pt idx="4">
                  <c:v>208.80643496428968</c:v>
                </c:pt>
                <c:pt idx="5">
                  <c:v>229.96722020405474</c:v>
                </c:pt>
                <c:pt idx="6">
                  <c:v>251.1280054438198</c:v>
                </c:pt>
                <c:pt idx="7">
                  <c:v>272.28879068358486</c:v>
                </c:pt>
                <c:pt idx="8">
                  <c:v>293.44957592334993</c:v>
                </c:pt>
                <c:pt idx="9">
                  <c:v>314.61036116311499</c:v>
                </c:pt>
                <c:pt idx="10">
                  <c:v>335.77114640288005</c:v>
                </c:pt>
                <c:pt idx="11">
                  <c:v>356.93193164264511</c:v>
                </c:pt>
                <c:pt idx="12">
                  <c:v>378.09271688241017</c:v>
                </c:pt>
                <c:pt idx="13">
                  <c:v>399.25350212217523</c:v>
                </c:pt>
                <c:pt idx="14">
                  <c:v>420.41428736194041</c:v>
                </c:pt>
                <c:pt idx="15">
                  <c:v>430.99467998182297</c:v>
                </c:pt>
                <c:pt idx="16">
                  <c:v>441.57507260170553</c:v>
                </c:pt>
                <c:pt idx="17">
                  <c:v>452.15546522158809</c:v>
                </c:pt>
                <c:pt idx="18">
                  <c:v>462.73585784147065</c:v>
                </c:pt>
                <c:pt idx="19">
                  <c:v>473.31625046135321</c:v>
                </c:pt>
                <c:pt idx="20">
                  <c:v>483.89664308123577</c:v>
                </c:pt>
                <c:pt idx="21">
                  <c:v>494.47703570111833</c:v>
                </c:pt>
                <c:pt idx="22">
                  <c:v>505.05742832100088</c:v>
                </c:pt>
                <c:pt idx="23">
                  <c:v>515.63782094088344</c:v>
                </c:pt>
                <c:pt idx="24">
                  <c:v>526.218213560766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Elpriser!$J$6</c:f>
              <c:strCache>
                <c:ptCount val="1"/>
                <c:pt idx="0">
                  <c:v>NL</c:v>
                </c:pt>
              </c:strCache>
            </c:strRef>
          </c:tx>
          <c:marker>
            <c:symbol val="none"/>
          </c:marker>
          <c:cat>
            <c:numRef>
              <c:f>Elpriser!$B$7:$B$31</c:f>
              <c:numCache>
                <c:formatCode>General</c:formatCode>
                <c:ptCount val="2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</c:numCache>
            </c:numRef>
          </c:cat>
          <c:val>
            <c:numRef>
              <c:f>Elpriser!$J$7:$J$31</c:f>
              <c:numCache>
                <c:formatCode>0</c:formatCode>
                <c:ptCount val="25"/>
                <c:pt idx="0">
                  <c:v>195.29749333333334</c:v>
                </c:pt>
                <c:pt idx="1">
                  <c:v>186.00012490021572</c:v>
                </c:pt>
                <c:pt idx="2">
                  <c:v>172.96214989127927</c:v>
                </c:pt>
                <c:pt idx="3">
                  <c:v>204.3730243601714</c:v>
                </c:pt>
                <c:pt idx="4">
                  <c:v>235.78389882906353</c:v>
                </c:pt>
                <c:pt idx="5">
                  <c:v>255.16729915893535</c:v>
                </c:pt>
                <c:pt idx="6">
                  <c:v>274.55069948880714</c:v>
                </c:pt>
                <c:pt idx="7">
                  <c:v>293.93409981867893</c:v>
                </c:pt>
                <c:pt idx="8">
                  <c:v>313.31750014855072</c:v>
                </c:pt>
                <c:pt idx="9">
                  <c:v>332.70090047842251</c:v>
                </c:pt>
                <c:pt idx="10">
                  <c:v>352.0843008082943</c:v>
                </c:pt>
                <c:pt idx="11">
                  <c:v>371.46770113816609</c:v>
                </c:pt>
                <c:pt idx="12">
                  <c:v>390.85110146803788</c:v>
                </c:pt>
                <c:pt idx="13">
                  <c:v>410.23450179790967</c:v>
                </c:pt>
                <c:pt idx="14">
                  <c:v>429.61790212778163</c:v>
                </c:pt>
                <c:pt idx="15">
                  <c:v>439.30960229271756</c:v>
                </c:pt>
                <c:pt idx="16">
                  <c:v>449.00130245765348</c:v>
                </c:pt>
                <c:pt idx="17">
                  <c:v>458.6930026225894</c:v>
                </c:pt>
                <c:pt idx="18">
                  <c:v>468.38470278752533</c:v>
                </c:pt>
                <c:pt idx="19">
                  <c:v>478.07640295246125</c:v>
                </c:pt>
                <c:pt idx="20">
                  <c:v>487.76810311739717</c:v>
                </c:pt>
                <c:pt idx="21">
                  <c:v>497.4598032823331</c:v>
                </c:pt>
                <c:pt idx="22">
                  <c:v>507.15150344726902</c:v>
                </c:pt>
                <c:pt idx="23">
                  <c:v>516.84320361220489</c:v>
                </c:pt>
                <c:pt idx="24">
                  <c:v>526.53490377714081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Elpriser!$K$6</c:f>
              <c:strCache>
                <c:ptCount val="1"/>
                <c:pt idx="0">
                  <c:v>GB</c:v>
                </c:pt>
              </c:strCache>
            </c:strRef>
          </c:tx>
          <c:marker>
            <c:symbol val="none"/>
          </c:marker>
          <c:cat>
            <c:numRef>
              <c:f>Elpriser!$B$7:$B$31</c:f>
              <c:numCache>
                <c:formatCode>General</c:formatCode>
                <c:ptCount val="2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</c:numCache>
            </c:numRef>
          </c:cat>
          <c:val>
            <c:numRef>
              <c:f>Elpriser!$K$7:$K$31</c:f>
              <c:numCache>
                <c:formatCode>0</c:formatCode>
                <c:ptCount val="25"/>
                <c:pt idx="0">
                  <c:v>324.997365</c:v>
                </c:pt>
                <c:pt idx="1">
                  <c:v>305.85064449837694</c:v>
                </c:pt>
                <c:pt idx="2">
                  <c:v>289.8004571033938</c:v>
                </c:pt>
                <c:pt idx="3">
                  <c:v>318.01631269358995</c:v>
                </c:pt>
                <c:pt idx="4">
                  <c:v>346.23216828378611</c:v>
                </c:pt>
                <c:pt idx="5">
                  <c:v>366.35216698540677</c:v>
                </c:pt>
                <c:pt idx="6">
                  <c:v>386.47216568702743</c:v>
                </c:pt>
                <c:pt idx="7">
                  <c:v>406.59216438864809</c:v>
                </c:pt>
                <c:pt idx="8">
                  <c:v>426.71216309026875</c:v>
                </c:pt>
                <c:pt idx="9">
                  <c:v>446.8321617918894</c:v>
                </c:pt>
                <c:pt idx="10">
                  <c:v>466.95216049351006</c:v>
                </c:pt>
                <c:pt idx="11">
                  <c:v>487.07215919513072</c:v>
                </c:pt>
                <c:pt idx="12">
                  <c:v>507.19215789675138</c:v>
                </c:pt>
                <c:pt idx="13">
                  <c:v>527.31215659837198</c:v>
                </c:pt>
                <c:pt idx="14">
                  <c:v>547.43215529999247</c:v>
                </c:pt>
                <c:pt idx="15">
                  <c:v>557.49215465080283</c:v>
                </c:pt>
                <c:pt idx="16">
                  <c:v>567.55215400161319</c:v>
                </c:pt>
                <c:pt idx="17">
                  <c:v>577.61215335242355</c:v>
                </c:pt>
                <c:pt idx="18">
                  <c:v>587.67215270323391</c:v>
                </c:pt>
                <c:pt idx="19">
                  <c:v>597.73215205404426</c:v>
                </c:pt>
                <c:pt idx="20">
                  <c:v>607.79215140485462</c:v>
                </c:pt>
                <c:pt idx="21">
                  <c:v>617.85215075566498</c:v>
                </c:pt>
                <c:pt idx="22">
                  <c:v>627.91215010647534</c:v>
                </c:pt>
                <c:pt idx="23">
                  <c:v>637.9721494572857</c:v>
                </c:pt>
                <c:pt idx="24">
                  <c:v>648.03214880809605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673344"/>
        <c:axId val="117691520"/>
      </c:lineChart>
      <c:catAx>
        <c:axId val="11767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7691520"/>
        <c:crosses val="autoZero"/>
        <c:auto val="1"/>
        <c:lblAlgn val="ctr"/>
        <c:lblOffset val="100"/>
        <c:noMultiLvlLbl val="0"/>
      </c:catAx>
      <c:valAx>
        <c:axId val="1176915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a-DK"/>
                  <a:t>DKK2016/MWh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crossAx val="11767334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Fremskrivning af elpriser for Danmark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Elpriser!$C$6</c:f>
              <c:strCache>
                <c:ptCount val="1"/>
                <c:pt idx="0">
                  <c:v>DK1</c:v>
                </c:pt>
              </c:strCache>
            </c:strRef>
          </c:tx>
          <c:marker>
            <c:symbol val="none"/>
          </c:marker>
          <c:cat>
            <c:numRef>
              <c:f>Elpriser!$B$7:$B$31</c:f>
              <c:numCache>
                <c:formatCode>General</c:formatCode>
                <c:ptCount val="2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</c:numCache>
            </c:numRef>
          </c:cat>
          <c:val>
            <c:numRef>
              <c:f>Elpriser!$C$7:$C$31</c:f>
              <c:numCache>
                <c:formatCode>0</c:formatCode>
                <c:ptCount val="25"/>
                <c:pt idx="0">
                  <c:v>150.21354666666667</c:v>
                </c:pt>
                <c:pt idx="1">
                  <c:v>142.16195886569983</c:v>
                </c:pt>
                <c:pt idx="2">
                  <c:v>138.15441433224586</c:v>
                </c:pt>
                <c:pt idx="3">
                  <c:v>172.99960716612293</c:v>
                </c:pt>
                <c:pt idx="4">
                  <c:v>207.84479999999999</c:v>
                </c:pt>
                <c:pt idx="5">
                  <c:v>228.49520000000001</c:v>
                </c:pt>
                <c:pt idx="6">
                  <c:v>249.3725</c:v>
                </c:pt>
                <c:pt idx="7">
                  <c:v>274.79559999999998</c:v>
                </c:pt>
                <c:pt idx="8">
                  <c:v>295.6078</c:v>
                </c:pt>
                <c:pt idx="9">
                  <c:v>316.7987</c:v>
                </c:pt>
                <c:pt idx="10">
                  <c:v>339.47250000000003</c:v>
                </c:pt>
                <c:pt idx="11">
                  <c:v>359.25349999999997</c:v>
                </c:pt>
                <c:pt idx="12">
                  <c:v>379.63189999999997</c:v>
                </c:pt>
                <c:pt idx="13">
                  <c:v>399.50099999999998</c:v>
                </c:pt>
                <c:pt idx="14">
                  <c:v>420.45870000000002</c:v>
                </c:pt>
                <c:pt idx="15">
                  <c:v>428.17849999999999</c:v>
                </c:pt>
                <c:pt idx="16">
                  <c:v>439.65460000000002</c:v>
                </c:pt>
                <c:pt idx="17">
                  <c:v>449.08760000000001</c:v>
                </c:pt>
                <c:pt idx="18">
                  <c:v>459.17349999999999</c:v>
                </c:pt>
                <c:pt idx="19">
                  <c:v>468.05250000000001</c:v>
                </c:pt>
                <c:pt idx="20">
                  <c:v>478.5401</c:v>
                </c:pt>
                <c:pt idx="21">
                  <c:v>491.40140000000002</c:v>
                </c:pt>
                <c:pt idx="22">
                  <c:v>500.4846</c:v>
                </c:pt>
                <c:pt idx="23">
                  <c:v>512.16520000000003</c:v>
                </c:pt>
                <c:pt idx="24">
                  <c:v>523.5933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Elpriser!$D$6</c:f>
              <c:strCache>
                <c:ptCount val="1"/>
                <c:pt idx="0">
                  <c:v>DK2</c:v>
                </c:pt>
              </c:strCache>
            </c:strRef>
          </c:tx>
          <c:marker>
            <c:symbol val="none"/>
          </c:marker>
          <c:cat>
            <c:numRef>
              <c:f>Elpriser!$B$7:$B$31</c:f>
              <c:numCache>
                <c:formatCode>General</c:formatCode>
                <c:ptCount val="2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</c:numCache>
            </c:numRef>
          </c:cat>
          <c:val>
            <c:numRef>
              <c:f>Elpriser!$D$7:$D$31</c:f>
              <c:numCache>
                <c:formatCode>0</c:formatCode>
                <c:ptCount val="25"/>
                <c:pt idx="0">
                  <c:v>161.94432</c:v>
                </c:pt>
                <c:pt idx="1">
                  <c:v>156.26066553006675</c:v>
                </c:pt>
                <c:pt idx="2">
                  <c:v>152.65165677126595</c:v>
                </c:pt>
                <c:pt idx="3">
                  <c:v>180.97357838563298</c:v>
                </c:pt>
                <c:pt idx="4">
                  <c:v>209.2955</c:v>
                </c:pt>
                <c:pt idx="5">
                  <c:v>230.69659999999999</c:v>
                </c:pt>
                <c:pt idx="6">
                  <c:v>251.33680000000001</c:v>
                </c:pt>
                <c:pt idx="7">
                  <c:v>273.64980000000003</c:v>
                </c:pt>
                <c:pt idx="8">
                  <c:v>295.16289999999998</c:v>
                </c:pt>
                <c:pt idx="9">
                  <c:v>314.92779999999999</c:v>
                </c:pt>
                <c:pt idx="10">
                  <c:v>339.00110000000001</c:v>
                </c:pt>
                <c:pt idx="11">
                  <c:v>357.46170000000001</c:v>
                </c:pt>
                <c:pt idx="12">
                  <c:v>379.2088</c:v>
                </c:pt>
                <c:pt idx="13">
                  <c:v>402.18389999999999</c:v>
                </c:pt>
                <c:pt idx="14">
                  <c:v>423.8254</c:v>
                </c:pt>
                <c:pt idx="15">
                  <c:v>429.1472</c:v>
                </c:pt>
                <c:pt idx="16">
                  <c:v>441.8186</c:v>
                </c:pt>
                <c:pt idx="17">
                  <c:v>451.30200000000002</c:v>
                </c:pt>
                <c:pt idx="18">
                  <c:v>461.54020000000003</c:v>
                </c:pt>
                <c:pt idx="19">
                  <c:v>471.3254</c:v>
                </c:pt>
                <c:pt idx="20">
                  <c:v>481.18579999999997</c:v>
                </c:pt>
                <c:pt idx="21">
                  <c:v>488.32870000000003</c:v>
                </c:pt>
                <c:pt idx="22">
                  <c:v>496.83030000000002</c:v>
                </c:pt>
                <c:pt idx="23">
                  <c:v>508.55880000000002</c:v>
                </c:pt>
                <c:pt idx="24">
                  <c:v>520.28390000000002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Elpriser!$E$6</c:f>
              <c:strCache>
                <c:ptCount val="1"/>
                <c:pt idx="0">
                  <c:v>DK</c:v>
                </c:pt>
              </c:strCache>
            </c:strRef>
          </c:tx>
          <c:marker>
            <c:symbol val="none"/>
          </c:marker>
          <c:cat>
            <c:numRef>
              <c:f>Elpriser!$B$7:$B$31</c:f>
              <c:numCache>
                <c:formatCode>General</c:formatCode>
                <c:ptCount val="2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</c:numCache>
            </c:numRef>
          </c:cat>
          <c:val>
            <c:numRef>
              <c:f>Elpriser!$E$7:$E$31</c:f>
              <c:numCache>
                <c:formatCode>0</c:formatCode>
                <c:ptCount val="25"/>
                <c:pt idx="0">
                  <c:v>154.99055612707352</c:v>
                </c:pt>
                <c:pt idx="1">
                  <c:v>147.90712099621115</c:v>
                </c:pt>
                <c:pt idx="2">
                  <c:v>144.0633869818364</c:v>
                </c:pt>
                <c:pt idx="3">
                  <c:v>176.25087088106915</c:v>
                </c:pt>
                <c:pt idx="4">
                  <c:v>208.43627103699953</c:v>
                </c:pt>
                <c:pt idx="5">
                  <c:v>229.39259041701769</c:v>
                </c:pt>
                <c:pt idx="6">
                  <c:v>250.17312387423669</c:v>
                </c:pt>
                <c:pt idx="7">
                  <c:v>274.32885812229773</c:v>
                </c:pt>
                <c:pt idx="8">
                  <c:v>295.42655449416787</c:v>
                </c:pt>
                <c:pt idx="9">
                  <c:v>316.03640337891994</c:v>
                </c:pt>
                <c:pt idx="10">
                  <c:v>339.28042846909131</c:v>
                </c:pt>
                <c:pt idx="11">
                  <c:v>358.52343260695318</c:v>
                </c:pt>
                <c:pt idx="12">
                  <c:v>379.45950826320006</c:v>
                </c:pt>
                <c:pt idx="13">
                  <c:v>400.59414533363389</c:v>
                </c:pt>
                <c:pt idx="14">
                  <c:v>421.83045906472296</c:v>
                </c:pt>
                <c:pt idx="15">
                  <c:v>428.57319599489028</c:v>
                </c:pt>
                <c:pt idx="16">
                  <c:v>440.53631996793911</c:v>
                </c:pt>
                <c:pt idx="17">
                  <c:v>449.98985540526996</c:v>
                </c:pt>
                <c:pt idx="18">
                  <c:v>460.13780991133149</c:v>
                </c:pt>
                <c:pt idx="19">
                  <c:v>469.38604033413492</c:v>
                </c:pt>
                <c:pt idx="20">
                  <c:v>479.61808822512774</c:v>
                </c:pt>
                <c:pt idx="21">
                  <c:v>490.14943098637411</c:v>
                </c:pt>
                <c:pt idx="22">
                  <c:v>498.99565855876165</c:v>
                </c:pt>
                <c:pt idx="23">
                  <c:v>510.69577537320913</c:v>
                </c:pt>
                <c:pt idx="24">
                  <c:v>522.24488777176634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028736"/>
        <c:axId val="119042816"/>
      </c:lineChart>
      <c:catAx>
        <c:axId val="119028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9042816"/>
        <c:crosses val="autoZero"/>
        <c:auto val="1"/>
        <c:lblAlgn val="ctr"/>
        <c:lblOffset val="100"/>
        <c:noMultiLvlLbl val="0"/>
      </c:catAx>
      <c:valAx>
        <c:axId val="119042816"/>
        <c:scaling>
          <c:orientation val="minMax"/>
          <c:min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a-DK"/>
                  <a:t>DKK2016/MWh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crossAx val="11902873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Bruttoelforbrug, Østdanmark</a:t>
            </a:r>
          </a:p>
        </c:rich>
      </c:tx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Elforbrug!$M$6</c:f>
              <c:strCache>
                <c:ptCount val="1"/>
                <c:pt idx="0">
                  <c:v>Klassisk elforbrug</c:v>
                </c:pt>
              </c:strCache>
            </c:strRef>
          </c:tx>
          <c:cat>
            <c:numRef>
              <c:f>Elforbrug!$L$8:$L$32</c:f>
              <c:numCache>
                <c:formatCode>General</c:formatCode>
                <c:ptCount val="2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</c:numCache>
            </c:numRef>
          </c:cat>
          <c:val>
            <c:numRef>
              <c:f>Elforbrug!$M$8:$M$32</c:f>
              <c:numCache>
                <c:formatCode>#,##0</c:formatCode>
                <c:ptCount val="25"/>
                <c:pt idx="0">
                  <c:v>13305.635762438047</c:v>
                </c:pt>
                <c:pt idx="1">
                  <c:v>13403.604713115214</c:v>
                </c:pt>
                <c:pt idx="2">
                  <c:v>13491.18805441481</c:v>
                </c:pt>
                <c:pt idx="3">
                  <c:v>13596.93202494226</c:v>
                </c:pt>
                <c:pt idx="4">
                  <c:v>13598.986288067908</c:v>
                </c:pt>
                <c:pt idx="5">
                  <c:v>13571.850545237272</c:v>
                </c:pt>
                <c:pt idx="6">
                  <c:v>13595.04209892126</c:v>
                </c:pt>
                <c:pt idx="7">
                  <c:v>13595.140052155069</c:v>
                </c:pt>
                <c:pt idx="8">
                  <c:v>13612.090658011344</c:v>
                </c:pt>
                <c:pt idx="9">
                  <c:v>13625.788910898627</c:v>
                </c:pt>
                <c:pt idx="10">
                  <c:v>13623.321190983632</c:v>
                </c:pt>
                <c:pt idx="11">
                  <c:v>13629.641434045539</c:v>
                </c:pt>
                <c:pt idx="12">
                  <c:v>13620.698385284943</c:v>
                </c:pt>
                <c:pt idx="13">
                  <c:v>13614.897666085051</c:v>
                </c:pt>
                <c:pt idx="14">
                  <c:v>13637.840849346538</c:v>
                </c:pt>
                <c:pt idx="15">
                  <c:v>13629.027489472583</c:v>
                </c:pt>
                <c:pt idx="16">
                  <c:v>13624.538117718321</c:v>
                </c:pt>
                <c:pt idx="17">
                  <c:v>13601.412204932414</c:v>
                </c:pt>
                <c:pt idx="18">
                  <c:v>13574.500855026368</c:v>
                </c:pt>
                <c:pt idx="19">
                  <c:v>13587.468687661396</c:v>
                </c:pt>
                <c:pt idx="20">
                  <c:v>13570.148895700646</c:v>
                </c:pt>
                <c:pt idx="21">
                  <c:v>13566.034971559622</c:v>
                </c:pt>
                <c:pt idx="22">
                  <c:v>13558.573809058484</c:v>
                </c:pt>
                <c:pt idx="23">
                  <c:v>13552.450640235063</c:v>
                </c:pt>
                <c:pt idx="24">
                  <c:v>13583.611199107681</c:v>
                </c:pt>
              </c:numCache>
            </c:numRef>
          </c:val>
        </c:ser>
        <c:ser>
          <c:idx val="1"/>
          <c:order val="1"/>
          <c:tx>
            <c:strRef>
              <c:f>Elforbrug!$O$6</c:f>
              <c:strCache>
                <c:ptCount val="1"/>
                <c:pt idx="0">
                  <c:v>Individuelle varmepumper</c:v>
                </c:pt>
              </c:strCache>
            </c:strRef>
          </c:tx>
          <c:cat>
            <c:numRef>
              <c:f>Elforbrug!$L$8:$L$32</c:f>
              <c:numCache>
                <c:formatCode>General</c:formatCode>
                <c:ptCount val="2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</c:numCache>
            </c:numRef>
          </c:cat>
          <c:val>
            <c:numRef>
              <c:f>Elforbrug!$O$8:$O$32</c:f>
              <c:numCache>
                <c:formatCode>#,##0</c:formatCode>
                <c:ptCount val="25"/>
                <c:pt idx="0">
                  <c:v>211.28698739515903</c:v>
                </c:pt>
                <c:pt idx="1">
                  <c:v>225.28881060579303</c:v>
                </c:pt>
                <c:pt idx="2">
                  <c:v>239.44046307019718</c:v>
                </c:pt>
                <c:pt idx="3">
                  <c:v>254.49183276136421</c:v>
                </c:pt>
                <c:pt idx="4">
                  <c:v>270.54749743872998</c:v>
                </c:pt>
                <c:pt idx="5">
                  <c:v>295.86893929364584</c:v>
                </c:pt>
                <c:pt idx="6">
                  <c:v>323.36526729142048</c:v>
                </c:pt>
                <c:pt idx="7">
                  <c:v>353.40034676247967</c:v>
                </c:pt>
                <c:pt idx="8">
                  <c:v>385.07755614216319</c:v>
                </c:pt>
                <c:pt idx="9">
                  <c:v>418.12915411043298</c:v>
                </c:pt>
                <c:pt idx="10">
                  <c:v>452.38459402775499</c:v>
                </c:pt>
                <c:pt idx="11">
                  <c:v>487.62984755719401</c:v>
                </c:pt>
                <c:pt idx="12">
                  <c:v>524.02855130454464</c:v>
                </c:pt>
                <c:pt idx="13">
                  <c:v>561.29246245878664</c:v>
                </c:pt>
                <c:pt idx="14">
                  <c:v>598.22645694437836</c:v>
                </c:pt>
                <c:pt idx="15">
                  <c:v>636.61760959577612</c:v>
                </c:pt>
                <c:pt idx="16">
                  <c:v>678.14571804383786</c:v>
                </c:pt>
                <c:pt idx="17">
                  <c:v>720.21174402978147</c:v>
                </c:pt>
                <c:pt idx="18">
                  <c:v>747.30174531067416</c:v>
                </c:pt>
                <c:pt idx="19">
                  <c:v>773.25025454230729</c:v>
                </c:pt>
                <c:pt idx="20">
                  <c:v>799.2404708662466</c:v>
                </c:pt>
                <c:pt idx="21">
                  <c:v>824.83220368861998</c:v>
                </c:pt>
                <c:pt idx="22">
                  <c:v>849.98943562717511</c:v>
                </c:pt>
                <c:pt idx="23">
                  <c:v>874.67470070535921</c:v>
                </c:pt>
                <c:pt idx="24">
                  <c:v>898.84903631892882</c:v>
                </c:pt>
              </c:numCache>
            </c:numRef>
          </c:val>
        </c:ser>
        <c:ser>
          <c:idx val="2"/>
          <c:order val="2"/>
          <c:tx>
            <c:strRef>
              <c:f>Elforbrug!$Q$6</c:f>
              <c:strCache>
                <c:ptCount val="1"/>
                <c:pt idx="0">
                  <c:v>Elbiler</c:v>
                </c:pt>
              </c:strCache>
            </c:strRef>
          </c:tx>
          <c:cat>
            <c:numRef>
              <c:f>Elforbrug!$L$8:$L$32</c:f>
              <c:numCache>
                <c:formatCode>General</c:formatCode>
                <c:ptCount val="2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</c:numCache>
            </c:numRef>
          </c:cat>
          <c:val>
            <c:numRef>
              <c:f>Elforbrug!$Q$8:$Q$32</c:f>
              <c:numCache>
                <c:formatCode>#,##0</c:formatCode>
                <c:ptCount val="25"/>
                <c:pt idx="0">
                  <c:v>10.489181419226627</c:v>
                </c:pt>
                <c:pt idx="1">
                  <c:v>11.66252650612312</c:v>
                </c:pt>
                <c:pt idx="2">
                  <c:v>12.961453258946795</c:v>
                </c:pt>
                <c:pt idx="3">
                  <c:v>14.586704190455672</c:v>
                </c:pt>
                <c:pt idx="4">
                  <c:v>16.206640739458191</c:v>
                </c:pt>
                <c:pt idx="5">
                  <c:v>43.10237836983994</c:v>
                </c:pt>
                <c:pt idx="6">
                  <c:v>69.990903468883971</c:v>
                </c:pt>
                <c:pt idx="7">
                  <c:v>96.829183137739363</c:v>
                </c:pt>
                <c:pt idx="8">
                  <c:v>123.71869558588091</c:v>
                </c:pt>
                <c:pt idx="9">
                  <c:v>150.62376577998197</c:v>
                </c:pt>
                <c:pt idx="10">
                  <c:v>177.50929816651637</c:v>
                </c:pt>
                <c:pt idx="11">
                  <c:v>204.39483055305081</c:v>
                </c:pt>
                <c:pt idx="12">
                  <c:v>231.28036293958519</c:v>
                </c:pt>
                <c:pt idx="13">
                  <c:v>258.1658953261196</c:v>
                </c:pt>
                <c:pt idx="14">
                  <c:v>285.051427712654</c:v>
                </c:pt>
                <c:pt idx="15">
                  <c:v>331.69620679290654</c:v>
                </c:pt>
                <c:pt idx="16">
                  <c:v>378.34098587315901</c:v>
                </c:pt>
                <c:pt idx="17">
                  <c:v>424.98576495341149</c:v>
                </c:pt>
                <c:pt idx="18">
                  <c:v>471.63054403366397</c:v>
                </c:pt>
                <c:pt idx="19">
                  <c:v>518.27532311391644</c:v>
                </c:pt>
                <c:pt idx="20">
                  <c:v>608.97350465885188</c:v>
                </c:pt>
                <c:pt idx="21">
                  <c:v>699.6716862037872</c:v>
                </c:pt>
                <c:pt idx="22">
                  <c:v>790.36986774872253</c:v>
                </c:pt>
                <c:pt idx="23">
                  <c:v>881.06804929365796</c:v>
                </c:pt>
                <c:pt idx="24">
                  <c:v>971.76623083859329</c:v>
                </c:pt>
              </c:numCache>
            </c:numRef>
          </c:val>
        </c:ser>
        <c:ser>
          <c:idx val="3"/>
          <c:order val="3"/>
          <c:tx>
            <c:strRef>
              <c:f>Elforbrug!$S$6</c:f>
              <c:strCache>
                <c:ptCount val="1"/>
                <c:pt idx="0">
                  <c:v>Femern og elektrificering af fjernbanen</c:v>
                </c:pt>
              </c:strCache>
            </c:strRef>
          </c:tx>
          <c:val>
            <c:numRef>
              <c:f>Elforbrug!$S$8:$S$32</c:f>
              <c:numCache>
                <c:formatCode>#,##0</c:formatCode>
                <c:ptCount val="25"/>
                <c:pt idx="0">
                  <c:v>127.2</c:v>
                </c:pt>
                <c:pt idx="1">
                  <c:v>127.2</c:v>
                </c:pt>
                <c:pt idx="2">
                  <c:v>148.53127888000003</c:v>
                </c:pt>
                <c:pt idx="3">
                  <c:v>189.97689727999997</c:v>
                </c:pt>
                <c:pt idx="4">
                  <c:v>294.91345863999999</c:v>
                </c:pt>
                <c:pt idx="5">
                  <c:v>404.60551495999999</c:v>
                </c:pt>
                <c:pt idx="6">
                  <c:v>523.77125767999996</c:v>
                </c:pt>
                <c:pt idx="7">
                  <c:v>621.60572151999997</c:v>
                </c:pt>
                <c:pt idx="8">
                  <c:v>740.46951688000001</c:v>
                </c:pt>
                <c:pt idx="9">
                  <c:v>795.84236927999996</c:v>
                </c:pt>
                <c:pt idx="10">
                  <c:v>846.45972671999994</c:v>
                </c:pt>
                <c:pt idx="11">
                  <c:v>887.60339776000012</c:v>
                </c:pt>
                <c:pt idx="12">
                  <c:v>928.74706879999997</c:v>
                </c:pt>
                <c:pt idx="13">
                  <c:v>928.74706880000008</c:v>
                </c:pt>
                <c:pt idx="14">
                  <c:v>928.74706880000008</c:v>
                </c:pt>
                <c:pt idx="15">
                  <c:v>928.74706880000008</c:v>
                </c:pt>
                <c:pt idx="16">
                  <c:v>928.74706880000008</c:v>
                </c:pt>
                <c:pt idx="17">
                  <c:v>928.74706880000008</c:v>
                </c:pt>
                <c:pt idx="18">
                  <c:v>928.74706880000008</c:v>
                </c:pt>
                <c:pt idx="19">
                  <c:v>928.74706880000008</c:v>
                </c:pt>
                <c:pt idx="20">
                  <c:v>928.74706880000008</c:v>
                </c:pt>
                <c:pt idx="21">
                  <c:v>928.74706880000008</c:v>
                </c:pt>
                <c:pt idx="22">
                  <c:v>928.74706880000008</c:v>
                </c:pt>
                <c:pt idx="23">
                  <c:v>928.74706880000008</c:v>
                </c:pt>
                <c:pt idx="24">
                  <c:v>928.74706880000008</c:v>
                </c:pt>
              </c:numCache>
            </c:numRef>
          </c:val>
        </c:ser>
        <c:ser>
          <c:idx val="4"/>
          <c:order val="4"/>
          <c:tx>
            <c:strRef>
              <c:f>Elforbrug!$U$6</c:f>
              <c:strCache>
                <c:ptCount val="1"/>
                <c:pt idx="0">
                  <c:v>Store datacentre</c:v>
                </c:pt>
              </c:strCache>
            </c:strRef>
          </c:tx>
          <c:val>
            <c:numRef>
              <c:f>Elforbrug!$U$8:$U$32</c:f>
              <c:numCache>
                <c:formatCode>#,##0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5"/>
          <c:order val="5"/>
          <c:tx>
            <c:strRef>
              <c:f>Elforbrug!$W$6</c:f>
              <c:strCache>
                <c:ptCount val="1"/>
                <c:pt idx="0">
                  <c:v>Elpatroner og store 
varmepumper</c:v>
                </c:pt>
              </c:strCache>
            </c:strRef>
          </c:tx>
          <c:val>
            <c:numRef>
              <c:f>Elforbrug!$W$8:$W$32</c:f>
              <c:numCache>
                <c:formatCode>#,##0</c:formatCode>
                <c:ptCount val="25"/>
                <c:pt idx="0">
                  <c:v>108.51124712347256</c:v>
                </c:pt>
                <c:pt idx="1">
                  <c:v>96.42336084387081</c:v>
                </c:pt>
                <c:pt idx="2">
                  <c:v>298.2069296554165</c:v>
                </c:pt>
                <c:pt idx="3">
                  <c:v>309.85591379507537</c:v>
                </c:pt>
                <c:pt idx="4">
                  <c:v>348.33525628692234</c:v>
                </c:pt>
                <c:pt idx="5">
                  <c:v>329.97141140379171</c:v>
                </c:pt>
                <c:pt idx="6">
                  <c:v>336.70460254463404</c:v>
                </c:pt>
                <c:pt idx="7">
                  <c:v>346.64159108473814</c:v>
                </c:pt>
                <c:pt idx="8">
                  <c:v>374.71068817153645</c:v>
                </c:pt>
                <c:pt idx="9">
                  <c:v>375.76557168102886</c:v>
                </c:pt>
                <c:pt idx="10">
                  <c:v>441.71608224874763</c:v>
                </c:pt>
                <c:pt idx="11">
                  <c:v>466.22356130497508</c:v>
                </c:pt>
                <c:pt idx="12">
                  <c:v>510.91320373855791</c:v>
                </c:pt>
                <c:pt idx="13">
                  <c:v>538.11150763083094</c:v>
                </c:pt>
                <c:pt idx="14">
                  <c:v>560.08999536242106</c:v>
                </c:pt>
                <c:pt idx="15">
                  <c:v>579.99659546827161</c:v>
                </c:pt>
                <c:pt idx="16">
                  <c:v>603.34916690758018</c:v>
                </c:pt>
                <c:pt idx="17">
                  <c:v>604.84562089970393</c:v>
                </c:pt>
                <c:pt idx="18">
                  <c:v>619.82439261808656</c:v>
                </c:pt>
                <c:pt idx="19">
                  <c:v>626.27106816525952</c:v>
                </c:pt>
                <c:pt idx="20">
                  <c:v>639.80288448892077</c:v>
                </c:pt>
                <c:pt idx="21">
                  <c:v>636.77777472726439</c:v>
                </c:pt>
                <c:pt idx="22">
                  <c:v>639.70346255516961</c:v>
                </c:pt>
                <c:pt idx="23">
                  <c:v>714.55847511302875</c:v>
                </c:pt>
                <c:pt idx="24">
                  <c:v>723.1052848089189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839168"/>
        <c:axId val="118840704"/>
      </c:areaChart>
      <c:catAx>
        <c:axId val="118839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da-DK"/>
          </a:p>
        </c:txPr>
        <c:crossAx val="118840704"/>
        <c:crosses val="autoZero"/>
        <c:auto val="1"/>
        <c:lblAlgn val="ctr"/>
        <c:lblOffset val="100"/>
        <c:noMultiLvlLbl val="0"/>
      </c:catAx>
      <c:valAx>
        <c:axId val="118840704"/>
        <c:scaling>
          <c:orientation val="minMax"/>
          <c:min val="12000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da-DK"/>
          </a:p>
        </c:txPr>
        <c:crossAx val="118839168"/>
        <c:crosses val="autoZero"/>
        <c:crossBetween val="midCat"/>
        <c:majorUnit val="1000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Bruttoelforbrug, Vestdanmark</a:t>
            </a:r>
          </a:p>
        </c:rich>
      </c:tx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Elforbrug!$M$6</c:f>
              <c:strCache>
                <c:ptCount val="1"/>
                <c:pt idx="0">
                  <c:v>Klassisk elforbrug</c:v>
                </c:pt>
              </c:strCache>
            </c:strRef>
          </c:tx>
          <c:cat>
            <c:numRef>
              <c:f>Elforbrug!$L$8:$L$32</c:f>
              <c:numCache>
                <c:formatCode>General</c:formatCode>
                <c:ptCount val="2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</c:numCache>
            </c:numRef>
          </c:cat>
          <c:val>
            <c:numRef>
              <c:f>Elforbrug!$N$8:$N$32</c:f>
              <c:numCache>
                <c:formatCode>#,##0</c:formatCode>
                <c:ptCount val="25"/>
                <c:pt idx="0">
                  <c:v>19551.378392989282</c:v>
                </c:pt>
                <c:pt idx="1">
                  <c:v>19672.883813319986</c:v>
                </c:pt>
                <c:pt idx="2">
                  <c:v>19793.464083815103</c:v>
                </c:pt>
                <c:pt idx="3">
                  <c:v>19936.902752237438</c:v>
                </c:pt>
                <c:pt idx="4">
                  <c:v>19941.594141356163</c:v>
                </c:pt>
                <c:pt idx="5">
                  <c:v>19907.482213933996</c:v>
                </c:pt>
                <c:pt idx="6">
                  <c:v>19946.286699005559</c:v>
                </c:pt>
                <c:pt idx="7">
                  <c:v>19966.032674332731</c:v>
                </c:pt>
                <c:pt idx="8">
                  <c:v>19988.061511420816</c:v>
                </c:pt>
                <c:pt idx="9">
                  <c:v>20002.845118992376</c:v>
                </c:pt>
                <c:pt idx="10">
                  <c:v>19999.222472290632</c:v>
                </c:pt>
                <c:pt idx="11">
                  <c:v>20008.500675843352</c:v>
                </c:pt>
                <c:pt idx="12">
                  <c:v>19995.372157530059</c:v>
                </c:pt>
                <c:pt idx="13">
                  <c:v>19986.856622136624</c:v>
                </c:pt>
                <c:pt idx="14">
                  <c:v>20020.537530032467</c:v>
                </c:pt>
                <c:pt idx="15">
                  <c:v>20007.59939678459</c:v>
                </c:pt>
                <c:pt idx="16">
                  <c:v>20001.008937438033</c:v>
                </c:pt>
                <c:pt idx="17">
                  <c:v>19967.059780092593</c:v>
                </c:pt>
                <c:pt idx="18">
                  <c:v>19927.553549104152</c:v>
                </c:pt>
                <c:pt idx="19">
                  <c:v>19946.590505380504</c:v>
                </c:pt>
                <c:pt idx="20">
                  <c:v>19921.164813088515</c:v>
                </c:pt>
                <c:pt idx="21">
                  <c:v>19915.125515990763</c:v>
                </c:pt>
                <c:pt idx="22">
                  <c:v>19904.172427043482</c:v>
                </c:pt>
                <c:pt idx="23">
                  <c:v>19895.183531177474</c:v>
                </c:pt>
                <c:pt idx="24">
                  <c:v>19940.927659244189</c:v>
                </c:pt>
              </c:numCache>
            </c:numRef>
          </c:val>
        </c:ser>
        <c:ser>
          <c:idx val="1"/>
          <c:order val="1"/>
          <c:tx>
            <c:strRef>
              <c:f>Elforbrug!$O$6</c:f>
              <c:strCache>
                <c:ptCount val="1"/>
                <c:pt idx="0">
                  <c:v>Individuelle varmepumper</c:v>
                </c:pt>
              </c:strCache>
            </c:strRef>
          </c:tx>
          <c:cat>
            <c:numRef>
              <c:f>Elforbrug!$L$8:$L$32</c:f>
              <c:numCache>
                <c:formatCode>General</c:formatCode>
                <c:ptCount val="2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</c:numCache>
            </c:numRef>
          </c:cat>
          <c:val>
            <c:numRef>
              <c:f>Elforbrug!$P$8:$P$32</c:f>
              <c:numCache>
                <c:formatCode>#,##0</c:formatCode>
                <c:ptCount val="25"/>
                <c:pt idx="0">
                  <c:v>310.46632523484766</c:v>
                </c:pt>
                <c:pt idx="1">
                  <c:v>330.66333201784863</c:v>
                </c:pt>
                <c:pt idx="2">
                  <c:v>351.29272432320107</c:v>
                </c:pt>
                <c:pt idx="3">
                  <c:v>373.15615844034767</c:v>
                </c:pt>
                <c:pt idx="4">
                  <c:v>396.73165893376824</c:v>
                </c:pt>
                <c:pt idx="5">
                  <c:v>433.98692219689474</c:v>
                </c:pt>
                <c:pt idx="6">
                  <c:v>474.43297953501946</c:v>
                </c:pt>
                <c:pt idx="7">
                  <c:v>519.00920796043476</c:v>
                </c:pt>
                <c:pt idx="8">
                  <c:v>565.4497954953855</c:v>
                </c:pt>
                <c:pt idx="9">
                  <c:v>613.8193365608721</c:v>
                </c:pt>
                <c:pt idx="10">
                  <c:v>664.10679247478822</c:v>
                </c:pt>
                <c:pt idx="11">
                  <c:v>715.84730835531002</c:v>
                </c:pt>
                <c:pt idx="12">
                  <c:v>769.28110498546232</c:v>
                </c:pt>
                <c:pt idx="13">
                  <c:v>823.98503796287685</c:v>
                </c:pt>
                <c:pt idx="14">
                  <c:v>878.20464874299762</c:v>
                </c:pt>
                <c:pt idx="15">
                  <c:v>934.56338770828927</c:v>
                </c:pt>
                <c:pt idx="16">
                  <c:v>995.52722083408173</c:v>
                </c:pt>
                <c:pt idx="17">
                  <c:v>1057.280724287765</c:v>
                </c:pt>
                <c:pt idx="18">
                  <c:v>1097.0492179462556</c:v>
                </c:pt>
                <c:pt idx="19">
                  <c:v>1135.1419856108084</c:v>
                </c:pt>
                <c:pt idx="20">
                  <c:v>1173.2959798592472</c:v>
                </c:pt>
                <c:pt idx="21">
                  <c:v>1210.8649948586735</c:v>
                </c:pt>
                <c:pt idx="22">
                  <c:v>1247.7961565976454</c:v>
                </c:pt>
                <c:pt idx="23">
                  <c:v>1284.0344645084072</c:v>
                </c:pt>
                <c:pt idx="24">
                  <c:v>1319.5227209532138</c:v>
                </c:pt>
              </c:numCache>
            </c:numRef>
          </c:val>
        </c:ser>
        <c:ser>
          <c:idx val="2"/>
          <c:order val="2"/>
          <c:tx>
            <c:strRef>
              <c:f>Elforbrug!$Q$6</c:f>
              <c:strCache>
                <c:ptCount val="1"/>
                <c:pt idx="0">
                  <c:v>Elbiler</c:v>
                </c:pt>
              </c:strCache>
            </c:strRef>
          </c:tx>
          <c:cat>
            <c:numRef>
              <c:f>Elforbrug!$L$8:$L$32</c:f>
              <c:numCache>
                <c:formatCode>General</c:formatCode>
                <c:ptCount val="2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</c:numCache>
            </c:numRef>
          </c:cat>
          <c:val>
            <c:numRef>
              <c:f>Elforbrug!$R$8:$R$32</c:f>
              <c:numCache>
                <c:formatCode>#,##0</c:formatCode>
                <c:ptCount val="25"/>
                <c:pt idx="0">
                  <c:v>15.412864039082553</c:v>
                </c:pt>
                <c:pt idx="1">
                  <c:v>17.117449658913458</c:v>
                </c:pt>
                <c:pt idx="2">
                  <c:v>19.016268880119746</c:v>
                </c:pt>
                <c:pt idx="3">
                  <c:v>21.388185392653238</c:v>
                </c:pt>
                <c:pt idx="4">
                  <c:v>23.765466423377109</c:v>
                </c:pt>
                <c:pt idx="5">
                  <c:v>63.223495419123836</c:v>
                </c:pt>
                <c:pt idx="6">
                  <c:v>102.68880498895676</c:v>
                </c:pt>
                <c:pt idx="7">
                  <c:v>142.20483400247065</c:v>
                </c:pt>
                <c:pt idx="8">
                  <c:v>181.6691469085919</c:v>
                </c:pt>
                <c:pt idx="9">
                  <c:v>221.1177552975654</c:v>
                </c:pt>
                <c:pt idx="10">
                  <c:v>260.5860858130448</c:v>
                </c:pt>
                <c:pt idx="11">
                  <c:v>300.05441632852421</c:v>
                </c:pt>
                <c:pt idx="12">
                  <c:v>339.52274684400362</c:v>
                </c:pt>
                <c:pt idx="13">
                  <c:v>378.99107735948303</c:v>
                </c:pt>
                <c:pt idx="14">
                  <c:v>418.45940787496249</c:v>
                </c:pt>
                <c:pt idx="15">
                  <c:v>486.93458370904722</c:v>
                </c:pt>
                <c:pt idx="16">
                  <c:v>555.40975954313194</c:v>
                </c:pt>
                <c:pt idx="17">
                  <c:v>623.88493537721672</c:v>
                </c:pt>
                <c:pt idx="18">
                  <c:v>692.36011121130161</c:v>
                </c:pt>
                <c:pt idx="19">
                  <c:v>760.83528704538628</c:v>
                </c:pt>
                <c:pt idx="20">
                  <c:v>893.98146227832888</c:v>
                </c:pt>
                <c:pt idx="21">
                  <c:v>1027.1276375112716</c:v>
                </c:pt>
                <c:pt idx="22">
                  <c:v>1160.2738127442142</c:v>
                </c:pt>
                <c:pt idx="23">
                  <c:v>1293.4199879771568</c:v>
                </c:pt>
                <c:pt idx="24">
                  <c:v>1426.5661632100991</c:v>
                </c:pt>
              </c:numCache>
            </c:numRef>
          </c:val>
        </c:ser>
        <c:ser>
          <c:idx val="3"/>
          <c:order val="3"/>
          <c:tx>
            <c:strRef>
              <c:f>Elforbrug!$S$6</c:f>
              <c:strCache>
                <c:ptCount val="1"/>
                <c:pt idx="0">
                  <c:v>Femern og elektrificering af fjernbanen</c:v>
                </c:pt>
              </c:strCache>
            </c:strRef>
          </c:tx>
          <c:val>
            <c:numRef>
              <c:f>Elforbrug!$T$8:$T$32</c:f>
              <c:numCache>
                <c:formatCode>#,##0</c:formatCode>
                <c:ptCount val="25"/>
                <c:pt idx="0">
                  <c:v>79.308815160000009</c:v>
                </c:pt>
                <c:pt idx="1">
                  <c:v>87.997630319999999</c:v>
                </c:pt>
                <c:pt idx="2">
                  <c:v>96.686445480000003</c:v>
                </c:pt>
                <c:pt idx="3">
                  <c:v>105.37526063999999</c:v>
                </c:pt>
                <c:pt idx="4">
                  <c:v>167.72165684000001</c:v>
                </c:pt>
                <c:pt idx="5">
                  <c:v>229.03075224000003</c:v>
                </c:pt>
                <c:pt idx="6">
                  <c:v>321.98478948000002</c:v>
                </c:pt>
                <c:pt idx="7">
                  <c:v>431.11290392000001</c:v>
                </c:pt>
                <c:pt idx="8">
                  <c:v>540.24101836</c:v>
                </c:pt>
                <c:pt idx="9">
                  <c:v>599.45933375999994</c:v>
                </c:pt>
                <c:pt idx="10">
                  <c:v>654.62471600000003</c:v>
                </c:pt>
                <c:pt idx="11">
                  <c:v>678.14515640000002</c:v>
                </c:pt>
                <c:pt idx="12">
                  <c:v>685.49151960000006</c:v>
                </c:pt>
                <c:pt idx="13">
                  <c:v>692.83788279999999</c:v>
                </c:pt>
                <c:pt idx="14">
                  <c:v>696.436464</c:v>
                </c:pt>
                <c:pt idx="15">
                  <c:v>696.436464</c:v>
                </c:pt>
                <c:pt idx="16">
                  <c:v>696.436464</c:v>
                </c:pt>
                <c:pt idx="17">
                  <c:v>696.436464</c:v>
                </c:pt>
                <c:pt idx="18">
                  <c:v>696.436464</c:v>
                </c:pt>
                <c:pt idx="19">
                  <c:v>696.436464</c:v>
                </c:pt>
                <c:pt idx="20">
                  <c:v>696.436464</c:v>
                </c:pt>
                <c:pt idx="21">
                  <c:v>696.436464</c:v>
                </c:pt>
                <c:pt idx="22">
                  <c:v>696.436464</c:v>
                </c:pt>
                <c:pt idx="23">
                  <c:v>696.436464</c:v>
                </c:pt>
                <c:pt idx="24">
                  <c:v>696.436464</c:v>
                </c:pt>
              </c:numCache>
            </c:numRef>
          </c:val>
        </c:ser>
        <c:ser>
          <c:idx val="4"/>
          <c:order val="4"/>
          <c:tx>
            <c:strRef>
              <c:f>Elforbrug!$U$6</c:f>
              <c:strCache>
                <c:ptCount val="1"/>
                <c:pt idx="0">
                  <c:v>Store datacentre</c:v>
                </c:pt>
              </c:strCache>
            </c:strRef>
          </c:tx>
          <c:val>
            <c:numRef>
              <c:f>Elforbrug!$V$8:$V$32</c:f>
              <c:numCache>
                <c:formatCode>#,##0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749.85599999999999</c:v>
                </c:pt>
                <c:pt idx="3">
                  <c:v>1499.712</c:v>
                </c:pt>
                <c:pt idx="4">
                  <c:v>2249.5680000000002</c:v>
                </c:pt>
                <c:pt idx="5">
                  <c:v>2843.2040000000002</c:v>
                </c:pt>
                <c:pt idx="6">
                  <c:v>3436.84</c:v>
                </c:pt>
                <c:pt idx="7">
                  <c:v>4030.4760000000006</c:v>
                </c:pt>
                <c:pt idx="8">
                  <c:v>4030.4760000000006</c:v>
                </c:pt>
                <c:pt idx="9">
                  <c:v>4030.4760000000006</c:v>
                </c:pt>
                <c:pt idx="10">
                  <c:v>4030.4760000000006</c:v>
                </c:pt>
                <c:pt idx="11">
                  <c:v>4030.4760000000006</c:v>
                </c:pt>
                <c:pt idx="12">
                  <c:v>4030.4760000000006</c:v>
                </c:pt>
                <c:pt idx="13">
                  <c:v>4030.4760000000006</c:v>
                </c:pt>
                <c:pt idx="14">
                  <c:v>4030.4760000000006</c:v>
                </c:pt>
                <c:pt idx="15">
                  <c:v>4030.4760000000006</c:v>
                </c:pt>
                <c:pt idx="16">
                  <c:v>4030.4760000000006</c:v>
                </c:pt>
                <c:pt idx="17">
                  <c:v>4030.4760000000006</c:v>
                </c:pt>
                <c:pt idx="18">
                  <c:v>4030.4760000000006</c:v>
                </c:pt>
                <c:pt idx="19">
                  <c:v>4030.4760000000006</c:v>
                </c:pt>
                <c:pt idx="20">
                  <c:v>4030.4760000000006</c:v>
                </c:pt>
                <c:pt idx="21">
                  <c:v>4030.4760000000006</c:v>
                </c:pt>
                <c:pt idx="22">
                  <c:v>4030.4760000000006</c:v>
                </c:pt>
                <c:pt idx="23">
                  <c:v>4030.4760000000006</c:v>
                </c:pt>
                <c:pt idx="24">
                  <c:v>4030.4760000000006</c:v>
                </c:pt>
              </c:numCache>
            </c:numRef>
          </c:val>
        </c:ser>
        <c:ser>
          <c:idx val="5"/>
          <c:order val="5"/>
          <c:tx>
            <c:strRef>
              <c:f>Elforbrug!$W$6</c:f>
              <c:strCache>
                <c:ptCount val="1"/>
                <c:pt idx="0">
                  <c:v>Elpatroner og store 
varmepumper</c:v>
                </c:pt>
              </c:strCache>
            </c:strRef>
          </c:tx>
          <c:val>
            <c:numRef>
              <c:f>Elforbrug!$X$8:$X$32</c:f>
              <c:numCache>
                <c:formatCode>#,##0</c:formatCode>
                <c:ptCount val="25"/>
                <c:pt idx="0">
                  <c:v>224.13545243453584</c:v>
                </c:pt>
                <c:pt idx="1">
                  <c:v>825.20058147346083</c:v>
                </c:pt>
                <c:pt idx="2">
                  <c:v>844.04504985601579</c:v>
                </c:pt>
                <c:pt idx="3">
                  <c:v>834.75802526083794</c:v>
                </c:pt>
                <c:pt idx="4">
                  <c:v>696.93266200188259</c:v>
                </c:pt>
                <c:pt idx="5">
                  <c:v>617.2643478514459</c:v>
                </c:pt>
                <c:pt idx="6">
                  <c:v>553.16394550533062</c:v>
                </c:pt>
                <c:pt idx="7">
                  <c:v>599.91923819303543</c:v>
                </c:pt>
                <c:pt idx="8">
                  <c:v>583.14044920684285</c:v>
                </c:pt>
                <c:pt idx="9">
                  <c:v>640.93683153722213</c:v>
                </c:pt>
                <c:pt idx="10">
                  <c:v>881.27053444352453</c:v>
                </c:pt>
                <c:pt idx="11">
                  <c:v>1020.328656948632</c:v>
                </c:pt>
                <c:pt idx="12">
                  <c:v>1095.8655623862539</c:v>
                </c:pt>
                <c:pt idx="13">
                  <c:v>1165.7748988728088</c:v>
                </c:pt>
                <c:pt idx="14">
                  <c:v>1507.0139481029373</c:v>
                </c:pt>
                <c:pt idx="15">
                  <c:v>1578.086910586401</c:v>
                </c:pt>
                <c:pt idx="16">
                  <c:v>1658.383751204178</c:v>
                </c:pt>
                <c:pt idx="17">
                  <c:v>1681.425797191677</c:v>
                </c:pt>
                <c:pt idx="18">
                  <c:v>1736.8503629550889</c:v>
                </c:pt>
                <c:pt idx="19">
                  <c:v>1740.1507126667684</c:v>
                </c:pt>
                <c:pt idx="20">
                  <c:v>1766.7236196472359</c:v>
                </c:pt>
                <c:pt idx="21">
                  <c:v>1843.4083947343756</c:v>
                </c:pt>
                <c:pt idx="22">
                  <c:v>1887.5585900135859</c:v>
                </c:pt>
                <c:pt idx="23">
                  <c:v>1901.3354582013649</c:v>
                </c:pt>
                <c:pt idx="24">
                  <c:v>2049.9351382692425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877568"/>
        <c:axId val="119088256"/>
      </c:areaChart>
      <c:catAx>
        <c:axId val="118877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da-DK"/>
          </a:p>
        </c:txPr>
        <c:crossAx val="119088256"/>
        <c:crosses val="autoZero"/>
        <c:auto val="1"/>
        <c:lblAlgn val="ctr"/>
        <c:lblOffset val="100"/>
        <c:noMultiLvlLbl val="0"/>
      </c:catAx>
      <c:valAx>
        <c:axId val="119088256"/>
        <c:scaling>
          <c:orientation val="minMax"/>
          <c:min val="15000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da-DK"/>
          </a:p>
        </c:txPr>
        <c:crossAx val="118877568"/>
        <c:crosses val="autoZero"/>
        <c:crossBetween val="midCat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Danmarks</a:t>
            </a:r>
            <a:r>
              <a:rPr lang="da-DK" baseline="0"/>
              <a:t> forventede b</a:t>
            </a:r>
            <a:r>
              <a:rPr lang="da-DK"/>
              <a:t>ruttoelforbrug</a:t>
            </a:r>
          </a:p>
        </c:rich>
      </c:tx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Elforbrug!$AB$7</c:f>
              <c:strCache>
                <c:ptCount val="1"/>
                <c:pt idx="0">
                  <c:v>Klassisk elforbrug</c:v>
                </c:pt>
              </c:strCache>
            </c:strRef>
          </c:tx>
          <c:cat>
            <c:numRef>
              <c:f>Elforbrug!$L$8:$L$32</c:f>
              <c:numCache>
                <c:formatCode>General</c:formatCode>
                <c:ptCount val="2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</c:numCache>
            </c:numRef>
          </c:cat>
          <c:val>
            <c:numRef>
              <c:f>Elforbrug!$AB$8:$AB$32</c:f>
              <c:numCache>
                <c:formatCode>#,##0</c:formatCode>
                <c:ptCount val="25"/>
                <c:pt idx="0">
                  <c:v>32857.014155427329</c:v>
                </c:pt>
                <c:pt idx="1">
                  <c:v>33076.488526435198</c:v>
                </c:pt>
                <c:pt idx="2">
                  <c:v>33284.652138229911</c:v>
                </c:pt>
                <c:pt idx="3">
                  <c:v>33533.834777179698</c:v>
                </c:pt>
                <c:pt idx="4">
                  <c:v>33540.580429424073</c:v>
                </c:pt>
                <c:pt idx="5">
                  <c:v>33479.332759171266</c:v>
                </c:pt>
                <c:pt idx="6">
                  <c:v>33541.328797926821</c:v>
                </c:pt>
                <c:pt idx="7">
                  <c:v>33561.172726487799</c:v>
                </c:pt>
                <c:pt idx="8">
                  <c:v>33600.152169432156</c:v>
                </c:pt>
                <c:pt idx="9">
                  <c:v>33628.634029891007</c:v>
                </c:pt>
                <c:pt idx="10">
                  <c:v>33622.543663274264</c:v>
                </c:pt>
                <c:pt idx="11">
                  <c:v>33638.14210988889</c:v>
                </c:pt>
                <c:pt idx="12">
                  <c:v>33616.070542815003</c:v>
                </c:pt>
                <c:pt idx="13">
                  <c:v>33601.754288221673</c:v>
                </c:pt>
                <c:pt idx="14">
                  <c:v>33658.378379379006</c:v>
                </c:pt>
                <c:pt idx="15">
                  <c:v>33636.626886257174</c:v>
                </c:pt>
                <c:pt idx="16">
                  <c:v>33625.547055156356</c:v>
                </c:pt>
                <c:pt idx="17">
                  <c:v>33568.471985025011</c:v>
                </c:pt>
                <c:pt idx="18">
                  <c:v>33502.054404130518</c:v>
                </c:pt>
                <c:pt idx="19">
                  <c:v>33534.059193041903</c:v>
                </c:pt>
                <c:pt idx="20">
                  <c:v>33491.313708789159</c:v>
                </c:pt>
                <c:pt idx="21">
                  <c:v>33481.160487550384</c:v>
                </c:pt>
                <c:pt idx="22">
                  <c:v>33462.746236101964</c:v>
                </c:pt>
                <c:pt idx="23">
                  <c:v>33447.634171412537</c:v>
                </c:pt>
                <c:pt idx="24">
                  <c:v>33524.538858351872</c:v>
                </c:pt>
              </c:numCache>
            </c:numRef>
          </c:val>
        </c:ser>
        <c:ser>
          <c:idx val="1"/>
          <c:order val="1"/>
          <c:tx>
            <c:strRef>
              <c:f>Elforbrug!$AC$7</c:f>
              <c:strCache>
                <c:ptCount val="1"/>
                <c:pt idx="0">
                  <c:v>Individuelle varmepumper</c:v>
                </c:pt>
              </c:strCache>
            </c:strRef>
          </c:tx>
          <c:cat>
            <c:numRef>
              <c:f>Elforbrug!$L$8:$L$32</c:f>
              <c:numCache>
                <c:formatCode>General</c:formatCode>
                <c:ptCount val="2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</c:numCache>
            </c:numRef>
          </c:cat>
          <c:val>
            <c:numRef>
              <c:f>Elforbrug!$AC$8:$AC$32</c:f>
              <c:numCache>
                <c:formatCode>#,##0</c:formatCode>
                <c:ptCount val="25"/>
                <c:pt idx="0">
                  <c:v>521.75331263000669</c:v>
                </c:pt>
                <c:pt idx="1">
                  <c:v>555.95214262364163</c:v>
                </c:pt>
                <c:pt idx="2">
                  <c:v>590.73318739339823</c:v>
                </c:pt>
                <c:pt idx="3">
                  <c:v>627.64799120171187</c:v>
                </c:pt>
                <c:pt idx="4">
                  <c:v>667.27915637249816</c:v>
                </c:pt>
                <c:pt idx="5">
                  <c:v>729.85586149054052</c:v>
                </c:pt>
                <c:pt idx="6">
                  <c:v>797.79824682643994</c:v>
                </c:pt>
                <c:pt idx="7">
                  <c:v>872.40955472291444</c:v>
                </c:pt>
                <c:pt idx="8">
                  <c:v>950.52735163754869</c:v>
                </c:pt>
                <c:pt idx="9">
                  <c:v>1031.9484906713051</c:v>
                </c:pt>
                <c:pt idx="10">
                  <c:v>1116.4913865025433</c:v>
                </c:pt>
                <c:pt idx="11">
                  <c:v>1203.477155912504</c:v>
                </c:pt>
                <c:pt idx="12">
                  <c:v>1293.3096562900068</c:v>
                </c:pt>
                <c:pt idx="13">
                  <c:v>1385.2775004216635</c:v>
                </c:pt>
                <c:pt idx="14">
                  <c:v>1476.431105687376</c:v>
                </c:pt>
                <c:pt idx="15">
                  <c:v>1571.1809973040654</c:v>
                </c:pt>
                <c:pt idx="16">
                  <c:v>1673.6729388779195</c:v>
                </c:pt>
                <c:pt idx="17">
                  <c:v>1777.4924683175464</c:v>
                </c:pt>
                <c:pt idx="18">
                  <c:v>1844.3509632569298</c:v>
                </c:pt>
                <c:pt idx="19">
                  <c:v>1908.3922401531158</c:v>
                </c:pt>
                <c:pt idx="20">
                  <c:v>1972.5364507254938</c:v>
                </c:pt>
                <c:pt idx="21">
                  <c:v>2035.6971985472935</c:v>
                </c:pt>
                <c:pt idx="22">
                  <c:v>2097.7855922248204</c:v>
                </c:pt>
                <c:pt idx="23">
                  <c:v>2158.7091652137665</c:v>
                </c:pt>
                <c:pt idx="24">
                  <c:v>2218.3717572721425</c:v>
                </c:pt>
              </c:numCache>
            </c:numRef>
          </c:val>
        </c:ser>
        <c:ser>
          <c:idx val="2"/>
          <c:order val="2"/>
          <c:tx>
            <c:strRef>
              <c:f>Elforbrug!$AD$7</c:f>
              <c:strCache>
                <c:ptCount val="1"/>
                <c:pt idx="0">
                  <c:v>Elbiler</c:v>
                </c:pt>
              </c:strCache>
            </c:strRef>
          </c:tx>
          <c:cat>
            <c:numRef>
              <c:f>Elforbrug!$L$8:$L$32</c:f>
              <c:numCache>
                <c:formatCode>General</c:formatCode>
                <c:ptCount val="2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</c:numCache>
            </c:numRef>
          </c:cat>
          <c:val>
            <c:numRef>
              <c:f>Elforbrug!$AD$8:$AD$32</c:f>
              <c:numCache>
                <c:formatCode>#,##0</c:formatCode>
                <c:ptCount val="25"/>
                <c:pt idx="0">
                  <c:v>25.902045458309182</c:v>
                </c:pt>
                <c:pt idx="1">
                  <c:v>28.77997616503658</c:v>
                </c:pt>
                <c:pt idx="2">
                  <c:v>31.977722139066543</c:v>
                </c:pt>
                <c:pt idx="3">
                  <c:v>35.974889583108911</c:v>
                </c:pt>
                <c:pt idx="4">
                  <c:v>39.9721071628353</c:v>
                </c:pt>
                <c:pt idx="5">
                  <c:v>106.32587378896378</c:v>
                </c:pt>
                <c:pt idx="6">
                  <c:v>172.67970845784072</c:v>
                </c:pt>
                <c:pt idx="7">
                  <c:v>239.03401714021001</c:v>
                </c:pt>
                <c:pt idx="8">
                  <c:v>305.38784249447281</c:v>
                </c:pt>
                <c:pt idx="9">
                  <c:v>371.74152107754736</c:v>
                </c:pt>
                <c:pt idx="10">
                  <c:v>438.09538397956118</c:v>
                </c:pt>
                <c:pt idx="11">
                  <c:v>504.44924688157505</c:v>
                </c:pt>
                <c:pt idx="12">
                  <c:v>570.80310978358875</c:v>
                </c:pt>
                <c:pt idx="13">
                  <c:v>637.15697268560257</c:v>
                </c:pt>
                <c:pt idx="14">
                  <c:v>703.5108355876165</c:v>
                </c:pt>
                <c:pt idx="15">
                  <c:v>818.6307905019537</c:v>
                </c:pt>
                <c:pt idx="16">
                  <c:v>933.75074541629101</c:v>
                </c:pt>
                <c:pt idx="17">
                  <c:v>1048.8707003306281</c:v>
                </c:pt>
                <c:pt idx="18">
                  <c:v>1163.9906552449656</c:v>
                </c:pt>
                <c:pt idx="19">
                  <c:v>1279.1106101593027</c:v>
                </c:pt>
                <c:pt idx="20">
                  <c:v>1502.9549669371809</c:v>
                </c:pt>
                <c:pt idx="21">
                  <c:v>1726.7993237150588</c:v>
                </c:pt>
                <c:pt idx="22">
                  <c:v>1950.6436804929367</c:v>
                </c:pt>
                <c:pt idx="23">
                  <c:v>2174.4880372708149</c:v>
                </c:pt>
                <c:pt idx="24">
                  <c:v>2398.3323940486925</c:v>
                </c:pt>
              </c:numCache>
            </c:numRef>
          </c:val>
        </c:ser>
        <c:ser>
          <c:idx val="3"/>
          <c:order val="3"/>
          <c:tx>
            <c:strRef>
              <c:f>Elforbrug!$AE$7</c:f>
              <c:strCache>
                <c:ptCount val="1"/>
                <c:pt idx="0">
                  <c:v>Femern og elektrificering af fjernbanen</c:v>
                </c:pt>
              </c:strCache>
            </c:strRef>
          </c:tx>
          <c:cat>
            <c:numRef>
              <c:f>Elforbrug!$L$8:$L$32</c:f>
              <c:numCache>
                <c:formatCode>General</c:formatCode>
                <c:ptCount val="2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</c:numCache>
            </c:numRef>
          </c:cat>
          <c:val>
            <c:numRef>
              <c:f>Elforbrug!$AE$8:$AE$32</c:f>
              <c:numCache>
                <c:formatCode>#,##0</c:formatCode>
                <c:ptCount val="25"/>
                <c:pt idx="0">
                  <c:v>206.50881516000001</c:v>
                </c:pt>
                <c:pt idx="1">
                  <c:v>215.19763032</c:v>
                </c:pt>
                <c:pt idx="2">
                  <c:v>245.21772436000003</c:v>
                </c:pt>
                <c:pt idx="3">
                  <c:v>295.35215791999997</c:v>
                </c:pt>
                <c:pt idx="4">
                  <c:v>462.63511547999997</c:v>
                </c:pt>
                <c:pt idx="5">
                  <c:v>633.63626720000002</c:v>
                </c:pt>
                <c:pt idx="6">
                  <c:v>845.75604715999998</c:v>
                </c:pt>
                <c:pt idx="7">
                  <c:v>1052.7186254399999</c:v>
                </c:pt>
                <c:pt idx="8">
                  <c:v>1280.7105352399999</c:v>
                </c:pt>
                <c:pt idx="9">
                  <c:v>1395.3017030399999</c:v>
                </c:pt>
                <c:pt idx="10">
                  <c:v>1501.08444272</c:v>
                </c:pt>
                <c:pt idx="11">
                  <c:v>1565.7485541600001</c:v>
                </c:pt>
                <c:pt idx="12">
                  <c:v>1614.2385884</c:v>
                </c:pt>
                <c:pt idx="13">
                  <c:v>1621.5849516000001</c:v>
                </c:pt>
                <c:pt idx="14">
                  <c:v>1625.1835328000002</c:v>
                </c:pt>
                <c:pt idx="15">
                  <c:v>1625.1835328000002</c:v>
                </c:pt>
                <c:pt idx="16">
                  <c:v>1625.1835328000002</c:v>
                </c:pt>
                <c:pt idx="17">
                  <c:v>1625.1835328000002</c:v>
                </c:pt>
                <c:pt idx="18">
                  <c:v>1625.1835328000002</c:v>
                </c:pt>
                <c:pt idx="19">
                  <c:v>1625.1835328000002</c:v>
                </c:pt>
                <c:pt idx="20">
                  <c:v>1625.1835328000002</c:v>
                </c:pt>
                <c:pt idx="21">
                  <c:v>1625.1835328000002</c:v>
                </c:pt>
                <c:pt idx="22">
                  <c:v>1625.1835328000002</c:v>
                </c:pt>
                <c:pt idx="23">
                  <c:v>1625.1835328000002</c:v>
                </c:pt>
                <c:pt idx="24">
                  <c:v>1625.1835328000002</c:v>
                </c:pt>
              </c:numCache>
            </c:numRef>
          </c:val>
        </c:ser>
        <c:ser>
          <c:idx val="4"/>
          <c:order val="4"/>
          <c:tx>
            <c:strRef>
              <c:f>Elforbrug!$AF$7</c:f>
              <c:strCache>
                <c:ptCount val="1"/>
                <c:pt idx="0">
                  <c:v>Store datacentre</c:v>
                </c:pt>
              </c:strCache>
            </c:strRef>
          </c:tx>
          <c:cat>
            <c:numRef>
              <c:f>Elforbrug!$L$8:$L$32</c:f>
              <c:numCache>
                <c:formatCode>General</c:formatCode>
                <c:ptCount val="2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</c:numCache>
            </c:numRef>
          </c:cat>
          <c:val>
            <c:numRef>
              <c:f>Elforbrug!$AF$8:$AF$32</c:f>
              <c:numCache>
                <c:formatCode>#,##0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749.85599999999999</c:v>
                </c:pt>
                <c:pt idx="3">
                  <c:v>1499.712</c:v>
                </c:pt>
                <c:pt idx="4">
                  <c:v>2249.5680000000002</c:v>
                </c:pt>
                <c:pt idx="5">
                  <c:v>2843.2040000000002</c:v>
                </c:pt>
                <c:pt idx="6">
                  <c:v>3436.84</c:v>
                </c:pt>
                <c:pt idx="7">
                  <c:v>4030.4760000000006</c:v>
                </c:pt>
                <c:pt idx="8">
                  <c:v>4030.4760000000006</c:v>
                </c:pt>
                <c:pt idx="9">
                  <c:v>4030.4760000000006</c:v>
                </c:pt>
                <c:pt idx="10">
                  <c:v>4030.4760000000006</c:v>
                </c:pt>
                <c:pt idx="11">
                  <c:v>4030.4760000000006</c:v>
                </c:pt>
                <c:pt idx="12">
                  <c:v>4030.4760000000006</c:v>
                </c:pt>
                <c:pt idx="13">
                  <c:v>4030.4760000000006</c:v>
                </c:pt>
                <c:pt idx="14">
                  <c:v>4030.4760000000006</c:v>
                </c:pt>
                <c:pt idx="15">
                  <c:v>4030.4760000000006</c:v>
                </c:pt>
                <c:pt idx="16">
                  <c:v>4030.4760000000006</c:v>
                </c:pt>
                <c:pt idx="17">
                  <c:v>4030.4760000000006</c:v>
                </c:pt>
                <c:pt idx="18">
                  <c:v>4030.4760000000006</c:v>
                </c:pt>
                <c:pt idx="19">
                  <c:v>4030.4760000000006</c:v>
                </c:pt>
                <c:pt idx="20">
                  <c:v>4030.4760000000006</c:v>
                </c:pt>
                <c:pt idx="21">
                  <c:v>4030.4760000000006</c:v>
                </c:pt>
                <c:pt idx="22">
                  <c:v>4030.4760000000006</c:v>
                </c:pt>
                <c:pt idx="23">
                  <c:v>4030.4760000000006</c:v>
                </c:pt>
                <c:pt idx="24">
                  <c:v>4030.4760000000006</c:v>
                </c:pt>
              </c:numCache>
            </c:numRef>
          </c:val>
        </c:ser>
        <c:ser>
          <c:idx val="5"/>
          <c:order val="5"/>
          <c:tx>
            <c:strRef>
              <c:f>Elforbrug!$AG$7</c:f>
              <c:strCache>
                <c:ptCount val="1"/>
                <c:pt idx="0">
                  <c:v>Elpatroner og store 
varmepumper</c:v>
                </c:pt>
              </c:strCache>
            </c:strRef>
          </c:tx>
          <c:cat>
            <c:numRef>
              <c:f>Elforbrug!$L$8:$L$32</c:f>
              <c:numCache>
                <c:formatCode>General</c:formatCode>
                <c:ptCount val="2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</c:numCache>
            </c:numRef>
          </c:cat>
          <c:val>
            <c:numRef>
              <c:f>Elforbrug!$AG$8:$AG$32</c:f>
              <c:numCache>
                <c:formatCode>#,##0</c:formatCode>
                <c:ptCount val="25"/>
                <c:pt idx="0">
                  <c:v>332.64669955800838</c:v>
                </c:pt>
                <c:pt idx="1">
                  <c:v>921.62394231733163</c:v>
                </c:pt>
                <c:pt idx="2">
                  <c:v>1142.2519795114322</c:v>
                </c:pt>
                <c:pt idx="3">
                  <c:v>1144.6139390559133</c:v>
                </c:pt>
                <c:pt idx="4">
                  <c:v>1045.267918288805</c:v>
                </c:pt>
                <c:pt idx="5">
                  <c:v>947.23575925523755</c:v>
                </c:pt>
                <c:pt idx="6">
                  <c:v>889.8685480499646</c:v>
                </c:pt>
                <c:pt idx="7">
                  <c:v>946.56082927777356</c:v>
                </c:pt>
                <c:pt idx="8">
                  <c:v>957.85113737837924</c:v>
                </c:pt>
                <c:pt idx="9">
                  <c:v>1016.702403218251</c:v>
                </c:pt>
                <c:pt idx="10">
                  <c:v>1322.986616692272</c:v>
                </c:pt>
                <c:pt idx="11">
                  <c:v>1486.552218253607</c:v>
                </c:pt>
                <c:pt idx="12">
                  <c:v>1606.7787661248119</c:v>
                </c:pt>
                <c:pt idx="13">
                  <c:v>1703.8864065036396</c:v>
                </c:pt>
                <c:pt idx="14">
                  <c:v>2067.1039434653585</c:v>
                </c:pt>
                <c:pt idx="15">
                  <c:v>2158.0835060546724</c:v>
                </c:pt>
                <c:pt idx="16">
                  <c:v>2261.7329181117584</c:v>
                </c:pt>
                <c:pt idx="17">
                  <c:v>2286.2714180913808</c:v>
                </c:pt>
                <c:pt idx="18">
                  <c:v>2356.6747555731754</c:v>
                </c:pt>
                <c:pt idx="19">
                  <c:v>2366.4217808320282</c:v>
                </c:pt>
                <c:pt idx="20">
                  <c:v>2406.5265041361567</c:v>
                </c:pt>
                <c:pt idx="21">
                  <c:v>2480.18616946164</c:v>
                </c:pt>
                <c:pt idx="22">
                  <c:v>2527.2620525687553</c:v>
                </c:pt>
                <c:pt idx="23">
                  <c:v>2615.8939333143935</c:v>
                </c:pt>
                <c:pt idx="24">
                  <c:v>2773.0404230781614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134464"/>
        <c:axId val="118951936"/>
      </c:areaChart>
      <c:lineChart>
        <c:grouping val="standard"/>
        <c:varyColors val="0"/>
        <c:ser>
          <c:idx val="6"/>
          <c:order val="6"/>
          <c:tx>
            <c:strRef>
              <c:f>Elforbrug!$AH$7</c:f>
              <c:strCache>
                <c:ptCount val="1"/>
                <c:pt idx="0">
                  <c:v>AF2015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val>
            <c:numRef>
              <c:f>Elforbrug!$AH$8:$AH$27</c:f>
              <c:numCache>
                <c:formatCode>General</c:formatCode>
                <c:ptCount val="20"/>
                <c:pt idx="0">
                  <c:v>34468.874363895964</c:v>
                </c:pt>
                <c:pt idx="1">
                  <c:v>34813.807537372282</c:v>
                </c:pt>
                <c:pt idx="2">
                  <c:v>35219.782876881254</c:v>
                </c:pt>
                <c:pt idx="3">
                  <c:v>35556.351084949711</c:v>
                </c:pt>
                <c:pt idx="4">
                  <c:v>35892.606922868843</c:v>
                </c:pt>
                <c:pt idx="5">
                  <c:v>36373.975326642969</c:v>
                </c:pt>
                <c:pt idx="6">
                  <c:v>36998.95647981271</c:v>
                </c:pt>
                <c:pt idx="7">
                  <c:v>37485.247676533851</c:v>
                </c:pt>
                <c:pt idx="8">
                  <c:v>38097.782005095069</c:v>
                </c:pt>
                <c:pt idx="9">
                  <c:v>38740.816860439314</c:v>
                </c:pt>
                <c:pt idx="10">
                  <c:v>39451.196924792559</c:v>
                </c:pt>
                <c:pt idx="11">
                  <c:v>40028.404328384</c:v>
                </c:pt>
                <c:pt idx="12">
                  <c:v>40371.644893136159</c:v>
                </c:pt>
                <c:pt idx="13">
                  <c:v>40634.869148591126</c:v>
                </c:pt>
                <c:pt idx="14">
                  <c:v>41180.176775339656</c:v>
                </c:pt>
                <c:pt idx="15">
                  <c:v>41435.79096477032</c:v>
                </c:pt>
                <c:pt idx="16">
                  <c:v>41723.553084568834</c:v>
                </c:pt>
                <c:pt idx="17">
                  <c:v>41898.391117281564</c:v>
                </c:pt>
                <c:pt idx="18">
                  <c:v>42151.560013483439</c:v>
                </c:pt>
                <c:pt idx="19">
                  <c:v>42472.394480405375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134464"/>
        <c:axId val="118951936"/>
      </c:lineChart>
      <c:catAx>
        <c:axId val="11913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951936"/>
        <c:crosses val="autoZero"/>
        <c:auto val="1"/>
        <c:lblAlgn val="ctr"/>
        <c:lblOffset val="100"/>
        <c:noMultiLvlLbl val="0"/>
      </c:catAx>
      <c:valAx>
        <c:axId val="1189519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9134464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da-DK" sz="1400"/>
              <a:t>Store datacentre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Elforbrug</c:v>
          </c:tx>
          <c:marker>
            <c:symbol val="none"/>
          </c:marker>
          <c:cat>
            <c:numRef>
              <c:f>Elforbrug!$AS$8:$AS$32</c:f>
              <c:numCache>
                <c:formatCode>General</c:formatCode>
                <c:ptCount val="2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</c:numCache>
            </c:numRef>
          </c:cat>
          <c:val>
            <c:numRef>
              <c:f>Elforbrug!$BB$8:$BB$32</c:f>
              <c:numCache>
                <c:formatCode>#,##0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700.8</c:v>
                </c:pt>
                <c:pt idx="3">
                  <c:v>1401.6</c:v>
                </c:pt>
                <c:pt idx="4">
                  <c:v>2102.4</c:v>
                </c:pt>
                <c:pt idx="5">
                  <c:v>2657.2</c:v>
                </c:pt>
                <c:pt idx="6">
                  <c:v>3212</c:v>
                </c:pt>
                <c:pt idx="7">
                  <c:v>3766.8</c:v>
                </c:pt>
                <c:pt idx="8">
                  <c:v>3766.8</c:v>
                </c:pt>
                <c:pt idx="9">
                  <c:v>3766.8</c:v>
                </c:pt>
                <c:pt idx="10">
                  <c:v>3766.8</c:v>
                </c:pt>
                <c:pt idx="11">
                  <c:v>3766.8</c:v>
                </c:pt>
                <c:pt idx="12">
                  <c:v>3766.8</c:v>
                </c:pt>
                <c:pt idx="13">
                  <c:v>3766.8</c:v>
                </c:pt>
                <c:pt idx="14">
                  <c:v>3766.8</c:v>
                </c:pt>
                <c:pt idx="15">
                  <c:v>3766.8</c:v>
                </c:pt>
                <c:pt idx="16">
                  <c:v>3766.8</c:v>
                </c:pt>
                <c:pt idx="17">
                  <c:v>3766.8</c:v>
                </c:pt>
                <c:pt idx="18">
                  <c:v>3766.8</c:v>
                </c:pt>
                <c:pt idx="19">
                  <c:v>3766.8</c:v>
                </c:pt>
                <c:pt idx="20">
                  <c:v>3766.8</c:v>
                </c:pt>
                <c:pt idx="21">
                  <c:v>3766.8</c:v>
                </c:pt>
                <c:pt idx="22">
                  <c:v>3766.8</c:v>
                </c:pt>
                <c:pt idx="23">
                  <c:v>3766.8</c:v>
                </c:pt>
                <c:pt idx="24">
                  <c:v>3766.8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982144"/>
        <c:axId val="118975872"/>
      </c:lineChart>
      <c:valAx>
        <c:axId val="1189758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a-DK"/>
                  <a:t>GWh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18982144"/>
        <c:crosses val="autoZero"/>
        <c:crossBetween val="between"/>
      </c:valAx>
      <c:catAx>
        <c:axId val="118982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8975872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19049</xdr:colOff>
      <xdr:row>5</xdr:row>
      <xdr:rowOff>23811</xdr:rowOff>
    </xdr:from>
    <xdr:to>
      <xdr:col>24</xdr:col>
      <xdr:colOff>581024</xdr:colOff>
      <xdr:row>30</xdr:row>
      <xdr:rowOff>142874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38100</xdr:colOff>
      <xdr:row>5</xdr:row>
      <xdr:rowOff>23811</xdr:rowOff>
    </xdr:from>
    <xdr:to>
      <xdr:col>34</xdr:col>
      <xdr:colOff>590550</xdr:colOff>
      <xdr:row>30</xdr:row>
      <xdr:rowOff>142874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228600</xdr:colOff>
      <xdr:row>5</xdr:row>
      <xdr:rowOff>104775</xdr:rowOff>
    </xdr:from>
    <xdr:to>
      <xdr:col>12</xdr:col>
      <xdr:colOff>285750</xdr:colOff>
      <xdr:row>38</xdr:row>
      <xdr:rowOff>152400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7075" y="914400"/>
          <a:ext cx="4933950" cy="5391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0</xdr:colOff>
      <xdr:row>12</xdr:row>
      <xdr:rowOff>47625</xdr:rowOff>
    </xdr:from>
    <xdr:to>
      <xdr:col>6</xdr:col>
      <xdr:colOff>0</xdr:colOff>
      <xdr:row>39</xdr:row>
      <xdr:rowOff>66675</xdr:rowOff>
    </xdr:to>
    <xdr:cxnSp macro="">
      <xdr:nvCxnSpPr>
        <xdr:cNvPr id="3" name="Lige forbindelse 2"/>
        <xdr:cNvCxnSpPr>
          <a:cxnSpLocks noChangeShapeType="1"/>
        </xdr:cNvCxnSpPr>
      </xdr:nvCxnSpPr>
      <xdr:spPr bwMode="auto">
        <a:xfrm>
          <a:off x="4257675" y="1990725"/>
          <a:ext cx="0" cy="4391025"/>
        </a:xfrm>
        <a:prstGeom prst="line">
          <a:avLst/>
        </a:prstGeom>
        <a:noFill/>
        <a:ln w="38100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0</xdr:colOff>
      <xdr:row>12</xdr:row>
      <xdr:rowOff>47625</xdr:rowOff>
    </xdr:from>
    <xdr:to>
      <xdr:col>8</xdr:col>
      <xdr:colOff>200025</xdr:colOff>
      <xdr:row>17</xdr:row>
      <xdr:rowOff>104775</xdr:rowOff>
    </xdr:to>
    <xdr:cxnSp macro="">
      <xdr:nvCxnSpPr>
        <xdr:cNvPr id="4" name="Lige forbindelse 3"/>
        <xdr:cNvCxnSpPr>
          <a:cxnSpLocks noChangeShapeType="1"/>
        </xdr:cNvCxnSpPr>
      </xdr:nvCxnSpPr>
      <xdr:spPr bwMode="auto">
        <a:xfrm flipH="1">
          <a:off x="4257675" y="1990725"/>
          <a:ext cx="1419225" cy="866775"/>
        </a:xfrm>
        <a:prstGeom prst="line">
          <a:avLst/>
        </a:prstGeom>
        <a:noFill/>
        <a:ln w="38100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cxnSp>
    <xdr:clientData/>
  </xdr:twoCellAnchor>
  <xdr:twoCellAnchor>
    <xdr:from>
      <xdr:col>10</xdr:col>
      <xdr:colOff>152400</xdr:colOff>
      <xdr:row>24</xdr:row>
      <xdr:rowOff>133350</xdr:rowOff>
    </xdr:from>
    <xdr:to>
      <xdr:col>10</xdr:col>
      <xdr:colOff>390525</xdr:colOff>
      <xdr:row>28</xdr:row>
      <xdr:rowOff>47625</xdr:rowOff>
    </xdr:to>
    <xdr:cxnSp macro="">
      <xdr:nvCxnSpPr>
        <xdr:cNvPr id="5" name="Lige forbindelse 4"/>
        <xdr:cNvCxnSpPr>
          <a:cxnSpLocks noChangeShapeType="1"/>
        </xdr:cNvCxnSpPr>
      </xdr:nvCxnSpPr>
      <xdr:spPr bwMode="auto">
        <a:xfrm>
          <a:off x="6848475" y="4019550"/>
          <a:ext cx="238125" cy="561975"/>
        </a:xfrm>
        <a:prstGeom prst="line">
          <a:avLst/>
        </a:prstGeom>
        <a:noFill/>
        <a:ln w="38100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352425</xdr:colOff>
      <xdr:row>28</xdr:row>
      <xdr:rowOff>47625</xdr:rowOff>
    </xdr:from>
    <xdr:to>
      <xdr:col>14</xdr:col>
      <xdr:colOff>161925</xdr:colOff>
      <xdr:row>28</xdr:row>
      <xdr:rowOff>47625</xdr:rowOff>
    </xdr:to>
    <xdr:cxnSp macro="">
      <xdr:nvCxnSpPr>
        <xdr:cNvPr id="6" name="Lige forbindelse 5"/>
        <xdr:cNvCxnSpPr>
          <a:cxnSpLocks noChangeShapeType="1"/>
        </xdr:cNvCxnSpPr>
      </xdr:nvCxnSpPr>
      <xdr:spPr bwMode="auto">
        <a:xfrm flipV="1">
          <a:off x="2171700" y="4581525"/>
          <a:ext cx="7124700" cy="0"/>
        </a:xfrm>
        <a:prstGeom prst="line">
          <a:avLst/>
        </a:prstGeom>
        <a:noFill/>
        <a:ln w="38100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cxnSp>
    <xdr:clientData/>
  </xdr:twoCellAnchor>
  <xdr:twoCellAnchor>
    <xdr:from>
      <xdr:col>10</xdr:col>
      <xdr:colOff>276225</xdr:colOff>
      <xdr:row>24</xdr:row>
      <xdr:rowOff>85725</xdr:rowOff>
    </xdr:from>
    <xdr:to>
      <xdr:col>10</xdr:col>
      <xdr:colOff>476250</xdr:colOff>
      <xdr:row>26</xdr:row>
      <xdr:rowOff>152400</xdr:rowOff>
    </xdr:to>
    <xdr:cxnSp macro="">
      <xdr:nvCxnSpPr>
        <xdr:cNvPr id="7" name="Lige forbindelse 6"/>
        <xdr:cNvCxnSpPr>
          <a:cxnSpLocks noChangeShapeType="1"/>
        </xdr:cNvCxnSpPr>
      </xdr:nvCxnSpPr>
      <xdr:spPr bwMode="auto">
        <a:xfrm>
          <a:off x="6972300" y="3971925"/>
          <a:ext cx="200025" cy="390525"/>
        </a:xfrm>
        <a:prstGeom prst="line">
          <a:avLst/>
        </a:prstGeom>
        <a:noFill/>
        <a:ln w="38100" algn="ctr">
          <a:solidFill>
            <a:srgbClr val="00B0F0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495300</xdr:colOff>
      <xdr:row>11</xdr:row>
      <xdr:rowOff>95250</xdr:rowOff>
    </xdr:from>
    <xdr:to>
      <xdr:col>7</xdr:col>
      <xdr:colOff>590550</xdr:colOff>
      <xdr:row>13</xdr:row>
      <xdr:rowOff>152400</xdr:rowOff>
    </xdr:to>
    <xdr:cxnSp macro="">
      <xdr:nvCxnSpPr>
        <xdr:cNvPr id="8" name="Lige forbindelse 7"/>
        <xdr:cNvCxnSpPr>
          <a:cxnSpLocks noChangeShapeType="1"/>
        </xdr:cNvCxnSpPr>
      </xdr:nvCxnSpPr>
      <xdr:spPr bwMode="auto">
        <a:xfrm flipH="1">
          <a:off x="4752975" y="1876425"/>
          <a:ext cx="704850" cy="381000"/>
        </a:xfrm>
        <a:prstGeom prst="line">
          <a:avLst/>
        </a:prstGeom>
        <a:noFill/>
        <a:ln w="38100" algn="ctr">
          <a:solidFill>
            <a:srgbClr val="00B0F0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590550</xdr:colOff>
      <xdr:row>24</xdr:row>
      <xdr:rowOff>123826</xdr:rowOff>
    </xdr:from>
    <xdr:to>
      <xdr:col>10</xdr:col>
      <xdr:colOff>161925</xdr:colOff>
      <xdr:row>27</xdr:row>
      <xdr:rowOff>28575</xdr:rowOff>
    </xdr:to>
    <xdr:cxnSp macro="">
      <xdr:nvCxnSpPr>
        <xdr:cNvPr id="9" name="Lige forbindelse 8"/>
        <xdr:cNvCxnSpPr>
          <a:cxnSpLocks noChangeShapeType="1"/>
        </xdr:cNvCxnSpPr>
      </xdr:nvCxnSpPr>
      <xdr:spPr bwMode="auto">
        <a:xfrm flipH="1" flipV="1">
          <a:off x="6677025" y="4010026"/>
          <a:ext cx="180975" cy="390524"/>
        </a:xfrm>
        <a:prstGeom prst="line">
          <a:avLst/>
        </a:prstGeom>
        <a:noFill/>
        <a:ln w="38100" algn="ctr">
          <a:solidFill>
            <a:srgbClr val="00B0F0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cxnSp>
    <xdr:clientData/>
  </xdr:twoCellAnchor>
  <xdr:twoCellAnchor>
    <xdr:from>
      <xdr:col>12</xdr:col>
      <xdr:colOff>495300</xdr:colOff>
      <xdr:row>27</xdr:row>
      <xdr:rowOff>28575</xdr:rowOff>
    </xdr:from>
    <xdr:to>
      <xdr:col>14</xdr:col>
      <xdr:colOff>161925</xdr:colOff>
      <xdr:row>27</xdr:row>
      <xdr:rowOff>28575</xdr:rowOff>
    </xdr:to>
    <xdr:cxnSp macro="">
      <xdr:nvCxnSpPr>
        <xdr:cNvPr id="10" name="Lige forbindelse 9"/>
        <xdr:cNvCxnSpPr>
          <a:cxnSpLocks noChangeShapeType="1"/>
        </xdr:cNvCxnSpPr>
      </xdr:nvCxnSpPr>
      <xdr:spPr bwMode="auto">
        <a:xfrm flipH="1">
          <a:off x="8410575" y="4400550"/>
          <a:ext cx="885825" cy="0"/>
        </a:xfrm>
        <a:prstGeom prst="line">
          <a:avLst/>
        </a:prstGeom>
        <a:noFill/>
        <a:ln w="38100" algn="ctr">
          <a:solidFill>
            <a:srgbClr val="00B0F0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cxnSp>
    <xdr:clientData/>
  </xdr:twoCellAnchor>
  <xdr:twoCellAnchor>
    <xdr:from>
      <xdr:col>12</xdr:col>
      <xdr:colOff>523875</xdr:colOff>
      <xdr:row>29</xdr:row>
      <xdr:rowOff>104775</xdr:rowOff>
    </xdr:from>
    <xdr:to>
      <xdr:col>14</xdr:col>
      <xdr:colOff>209550</xdr:colOff>
      <xdr:row>29</xdr:row>
      <xdr:rowOff>104775</xdr:rowOff>
    </xdr:to>
    <xdr:cxnSp macro="">
      <xdr:nvCxnSpPr>
        <xdr:cNvPr id="11" name="Lige forbindelse 10"/>
        <xdr:cNvCxnSpPr>
          <a:cxnSpLocks noChangeShapeType="1"/>
        </xdr:cNvCxnSpPr>
      </xdr:nvCxnSpPr>
      <xdr:spPr bwMode="auto">
        <a:xfrm>
          <a:off x="8439150" y="4800600"/>
          <a:ext cx="904875" cy="0"/>
        </a:xfrm>
        <a:prstGeom prst="line">
          <a:avLst/>
        </a:prstGeom>
        <a:noFill/>
        <a:ln w="38100" algn="ctr">
          <a:solidFill>
            <a:srgbClr val="00B0F0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276225</xdr:colOff>
      <xdr:row>34</xdr:row>
      <xdr:rowOff>142875</xdr:rowOff>
    </xdr:from>
    <xdr:to>
      <xdr:col>5</xdr:col>
      <xdr:colOff>276225</xdr:colOff>
      <xdr:row>39</xdr:row>
      <xdr:rowOff>142875</xdr:rowOff>
    </xdr:to>
    <xdr:cxnSp macro="">
      <xdr:nvCxnSpPr>
        <xdr:cNvPr id="12" name="Lige forbindelse 11"/>
        <xdr:cNvCxnSpPr>
          <a:cxnSpLocks noChangeShapeType="1"/>
        </xdr:cNvCxnSpPr>
      </xdr:nvCxnSpPr>
      <xdr:spPr bwMode="auto">
        <a:xfrm flipV="1">
          <a:off x="3924300" y="5648325"/>
          <a:ext cx="0" cy="809625"/>
        </a:xfrm>
        <a:prstGeom prst="line">
          <a:avLst/>
        </a:prstGeom>
        <a:noFill/>
        <a:ln w="38100" algn="ctr">
          <a:solidFill>
            <a:srgbClr val="00B0F0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428625</xdr:colOff>
      <xdr:row>35</xdr:row>
      <xdr:rowOff>28575</xdr:rowOff>
    </xdr:from>
    <xdr:to>
      <xdr:col>6</xdr:col>
      <xdr:colOff>428625</xdr:colOff>
      <xdr:row>40</xdr:row>
      <xdr:rowOff>9525</xdr:rowOff>
    </xdr:to>
    <xdr:cxnSp macro="">
      <xdr:nvCxnSpPr>
        <xdr:cNvPr id="13" name="Lige forbindelse 12"/>
        <xdr:cNvCxnSpPr>
          <a:cxnSpLocks noChangeShapeType="1"/>
        </xdr:cNvCxnSpPr>
      </xdr:nvCxnSpPr>
      <xdr:spPr bwMode="auto">
        <a:xfrm>
          <a:off x="4686300" y="5695950"/>
          <a:ext cx="0" cy="790575"/>
        </a:xfrm>
        <a:prstGeom prst="line">
          <a:avLst/>
        </a:prstGeom>
        <a:noFill/>
        <a:ln w="38100" algn="ctr">
          <a:solidFill>
            <a:srgbClr val="00B0F0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66675</xdr:colOff>
      <xdr:row>13</xdr:row>
      <xdr:rowOff>152400</xdr:rowOff>
    </xdr:from>
    <xdr:to>
      <xdr:col>8</xdr:col>
      <xdr:colOff>257175</xdr:colOff>
      <xdr:row>16</xdr:row>
      <xdr:rowOff>85725</xdr:rowOff>
    </xdr:to>
    <xdr:cxnSp macro="">
      <xdr:nvCxnSpPr>
        <xdr:cNvPr id="14" name="Lige forbindelse 13"/>
        <xdr:cNvCxnSpPr>
          <a:cxnSpLocks noChangeShapeType="1"/>
        </xdr:cNvCxnSpPr>
      </xdr:nvCxnSpPr>
      <xdr:spPr bwMode="auto">
        <a:xfrm flipV="1">
          <a:off x="4933950" y="2257425"/>
          <a:ext cx="800100" cy="419100"/>
        </a:xfrm>
        <a:prstGeom prst="line">
          <a:avLst/>
        </a:prstGeom>
        <a:noFill/>
        <a:ln w="38100" algn="ctr">
          <a:solidFill>
            <a:srgbClr val="00B0F0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419100</xdr:colOff>
      <xdr:row>27</xdr:row>
      <xdr:rowOff>66675</xdr:rowOff>
    </xdr:from>
    <xdr:to>
      <xdr:col>4</xdr:col>
      <xdr:colOff>228600</xdr:colOff>
      <xdr:row>27</xdr:row>
      <xdr:rowOff>66675</xdr:rowOff>
    </xdr:to>
    <xdr:cxnSp macro="">
      <xdr:nvCxnSpPr>
        <xdr:cNvPr id="15" name="Lige forbindelse 14"/>
        <xdr:cNvCxnSpPr>
          <a:cxnSpLocks noChangeShapeType="1"/>
        </xdr:cNvCxnSpPr>
      </xdr:nvCxnSpPr>
      <xdr:spPr bwMode="auto">
        <a:xfrm>
          <a:off x="2238375" y="4438650"/>
          <a:ext cx="1028700" cy="0"/>
        </a:xfrm>
        <a:prstGeom prst="line">
          <a:avLst/>
        </a:prstGeom>
        <a:noFill/>
        <a:ln w="38100" algn="ctr">
          <a:solidFill>
            <a:srgbClr val="00B0F0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352425</xdr:colOff>
      <xdr:row>29</xdr:row>
      <xdr:rowOff>28575</xdr:rowOff>
    </xdr:from>
    <xdr:to>
      <xdr:col>4</xdr:col>
      <xdr:colOff>228600</xdr:colOff>
      <xdr:row>29</xdr:row>
      <xdr:rowOff>28575</xdr:rowOff>
    </xdr:to>
    <xdr:cxnSp macro="">
      <xdr:nvCxnSpPr>
        <xdr:cNvPr id="16" name="Lige forbindelse 15"/>
        <xdr:cNvCxnSpPr>
          <a:cxnSpLocks noChangeShapeType="1"/>
        </xdr:cNvCxnSpPr>
      </xdr:nvCxnSpPr>
      <xdr:spPr bwMode="auto">
        <a:xfrm flipH="1">
          <a:off x="2171700" y="4724400"/>
          <a:ext cx="1095375" cy="0"/>
        </a:xfrm>
        <a:prstGeom prst="line">
          <a:avLst/>
        </a:prstGeom>
        <a:noFill/>
        <a:ln w="38100" algn="ctr">
          <a:solidFill>
            <a:srgbClr val="00B0F0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63500</xdr:colOff>
      <xdr:row>6</xdr:row>
      <xdr:rowOff>111125</xdr:rowOff>
    </xdr:from>
    <xdr:to>
      <xdr:col>7</xdr:col>
      <xdr:colOff>152400</xdr:colOff>
      <xdr:row>11</xdr:row>
      <xdr:rowOff>133624</xdr:rowOff>
    </xdr:to>
    <xdr:sp macro="" textlink="">
      <xdr:nvSpPr>
        <xdr:cNvPr id="17" name="Tekstboks 61"/>
        <xdr:cNvSpPr txBox="1"/>
      </xdr:nvSpPr>
      <xdr:spPr>
        <a:xfrm>
          <a:off x="2492375" y="1082675"/>
          <a:ext cx="2527300" cy="83212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lIns="108000" tIns="108000" rIns="108000" bIns="108000">
          <a:spAutoFit/>
        </a:bodyPr>
        <a:lstStyle>
          <a:defPPr>
            <a:defRPr lang="da-DK"/>
          </a:defPPr>
          <a:lvl1pPr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1pPr>
          <a:lvl2pPr marL="4572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2pPr>
          <a:lvl3pPr marL="9144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3pPr>
          <a:lvl4pPr marL="13716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4pPr>
          <a:lvl5pPr marL="18288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>
            <a:lnSpc>
              <a:spcPts val="500"/>
            </a:lnSpc>
            <a:buFont typeface="Wingdings" pitchFamily="2" charset="2"/>
            <a:buNone/>
            <a:defRPr/>
          </a:pPr>
          <a:r>
            <a:rPr lang="da-DK" sz="1000" b="1" u="sng">
              <a:latin typeface="+mn-lt"/>
            </a:rPr>
            <a:t>Ll. Torup</a:t>
          </a:r>
          <a:r>
            <a:rPr lang="da-DK" sz="1000" b="1" u="sng" baseline="30000">
              <a:latin typeface="+mn-lt"/>
            </a:rPr>
            <a:t>2</a:t>
          </a:r>
        </a:p>
        <a:p>
          <a:pPr>
            <a:lnSpc>
              <a:spcPts val="2200"/>
            </a:lnSpc>
            <a:buFont typeface="Wingdings" pitchFamily="2" charset="2"/>
            <a:buNone/>
            <a:defRPr/>
          </a:pPr>
          <a:r>
            <a:rPr lang="da-DK" sz="1000">
              <a:solidFill>
                <a:srgbClr val="00B050"/>
              </a:solidFill>
              <a:latin typeface="+mn-lt"/>
            </a:rPr>
            <a:t>Entry (udtræk) </a:t>
          </a:r>
          <a:r>
            <a:rPr lang="da-DK" sz="1000">
              <a:solidFill>
                <a:sysClr val="windowText" lastClr="000000"/>
              </a:solidFill>
              <a:latin typeface="+mn-lt"/>
            </a:rPr>
            <a:t>-</a:t>
          </a:r>
          <a:r>
            <a:rPr lang="da-DK" sz="1000" baseline="0">
              <a:solidFill>
                <a:sysClr val="windowText" lastClr="000000"/>
              </a:solidFill>
              <a:latin typeface="+mn-lt"/>
            </a:rPr>
            <a:t> </a:t>
          </a:r>
          <a:r>
            <a:rPr lang="da-DK" sz="1000">
              <a:solidFill>
                <a:sysClr val="windowText" lastClr="000000"/>
              </a:solidFill>
              <a:latin typeface="+mn-lt"/>
            </a:rPr>
            <a:t>Uafbrydelig: 4.000 MWh/h</a:t>
          </a:r>
        </a:p>
        <a:p>
          <a:pPr>
            <a:lnSpc>
              <a:spcPts val="1600"/>
            </a:lnSpc>
            <a:buFont typeface="Wingdings" pitchFamily="2" charset="2"/>
            <a:buNone/>
            <a:defRPr/>
          </a:pPr>
          <a:r>
            <a:rPr lang="da-DK" sz="1000">
              <a:solidFill>
                <a:srgbClr val="FF0000"/>
              </a:solidFill>
              <a:latin typeface="+mn-lt"/>
            </a:rPr>
            <a:t>Exit (injektion)</a:t>
          </a:r>
          <a:r>
            <a:rPr lang="da-DK" sz="1000" baseline="0">
              <a:solidFill>
                <a:srgbClr val="FF0000"/>
              </a:solidFill>
              <a:latin typeface="+mn-lt"/>
            </a:rPr>
            <a:t> </a:t>
          </a:r>
          <a:r>
            <a:rPr lang="da-DK" sz="1000" baseline="0">
              <a:solidFill>
                <a:sysClr val="windowText" lastClr="000000"/>
              </a:solidFill>
              <a:latin typeface="+mn-lt"/>
            </a:rPr>
            <a:t>- </a:t>
          </a:r>
          <a:r>
            <a:rPr lang="da-DK" sz="1000">
              <a:solidFill>
                <a:sysClr val="windowText" lastClr="000000"/>
              </a:solidFill>
              <a:latin typeface="+mn-lt"/>
            </a:rPr>
            <a:t>Uafbrydelig </a:t>
          </a:r>
          <a:r>
            <a:rPr lang="da-DK" sz="1000" kern="12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:  1.820</a:t>
          </a:r>
          <a:r>
            <a:rPr lang="da-DK" sz="1000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MWh/</a:t>
          </a:r>
          <a:r>
            <a:rPr lang="da-DK" sz="1000" kern="12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h</a:t>
          </a:r>
        </a:p>
      </xdr:txBody>
    </xdr:sp>
    <xdr:clientData/>
  </xdr:twoCellAnchor>
  <xdr:twoCellAnchor>
    <xdr:from>
      <xdr:col>10</xdr:col>
      <xdr:colOff>577850</xdr:colOff>
      <xdr:row>20</xdr:row>
      <xdr:rowOff>7938</xdr:rowOff>
    </xdr:from>
    <xdr:to>
      <xdr:col>14</xdr:col>
      <xdr:colOff>180975</xdr:colOff>
      <xdr:row>26</xdr:row>
      <xdr:rowOff>28042</xdr:rowOff>
    </xdr:to>
    <xdr:sp macro="" textlink="">
      <xdr:nvSpPr>
        <xdr:cNvPr id="18" name="Tekstboks 63"/>
        <xdr:cNvSpPr txBox="1"/>
      </xdr:nvSpPr>
      <xdr:spPr>
        <a:xfrm>
          <a:off x="7273925" y="3246438"/>
          <a:ext cx="2041525" cy="99165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lIns="108000" tIns="108000" rIns="108000" bIns="108000" numCol="1">
          <a:spAutoFit/>
        </a:bodyPr>
        <a:lstStyle>
          <a:defPPr>
            <a:defRPr lang="da-DK"/>
          </a:defPPr>
          <a:lvl1pPr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1pPr>
          <a:lvl2pPr marL="4572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2pPr>
          <a:lvl3pPr marL="9144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3pPr>
          <a:lvl4pPr marL="13716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4pPr>
          <a:lvl5pPr marL="18288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>
            <a:lnSpc>
              <a:spcPts val="500"/>
            </a:lnSpc>
            <a:buFont typeface="Wingdings" pitchFamily="2" charset="2"/>
            <a:buNone/>
            <a:defRPr/>
          </a:pPr>
          <a:r>
            <a:rPr lang="da-DK" sz="1000" b="1" u="sng">
              <a:latin typeface="+mn-lt"/>
            </a:rPr>
            <a:t>Dragør</a:t>
          </a:r>
        </a:p>
        <a:p>
          <a:pPr marL="0" indent="0" algn="l" rtl="0" fontAlgn="base">
            <a:lnSpc>
              <a:spcPts val="16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None/>
            <a:defRPr/>
          </a:pPr>
          <a:r>
            <a:rPr lang="da-DK" sz="1000">
              <a:solidFill>
                <a:srgbClr val="00B050"/>
              </a:solidFill>
              <a:latin typeface="+mn-lt"/>
            </a:rPr>
            <a:t>Entry</a:t>
          </a:r>
          <a:r>
            <a:rPr lang="da-DK" sz="1000">
              <a:solidFill>
                <a:sysClr val="windowText" lastClr="000000"/>
              </a:solidFill>
              <a:latin typeface="+mn-lt"/>
            </a:rPr>
            <a:t> -</a:t>
          </a:r>
          <a:r>
            <a:rPr lang="da-DK" sz="1000" baseline="0">
              <a:solidFill>
                <a:sysClr val="windowText" lastClr="000000"/>
              </a:solidFill>
              <a:latin typeface="+mn-lt"/>
            </a:rPr>
            <a:t> </a:t>
          </a:r>
          <a:r>
            <a:rPr lang="da-DK" sz="1000" baseline="0">
              <a:latin typeface="+mn-lt"/>
            </a:rPr>
            <a:t>A</a:t>
          </a:r>
          <a:r>
            <a:rPr lang="da-DK" sz="1000">
              <a:latin typeface="+mn-lt"/>
            </a:rPr>
            <a:t>fbrydelig</a:t>
          </a:r>
          <a:r>
            <a:rPr lang="da-DK" sz="1000" kern="1200" baseline="0">
              <a:solidFill>
                <a:schemeClr val="tx1"/>
              </a:solidFill>
              <a:latin typeface="+mn-lt"/>
              <a:ea typeface="+mn-ea"/>
              <a:cs typeface="+mn-cs"/>
            </a:rPr>
            <a:t>:         600 MWh/h</a:t>
          </a:r>
        </a:p>
        <a:p>
          <a:pPr>
            <a:lnSpc>
              <a:spcPts val="1600"/>
            </a:lnSpc>
            <a:buFont typeface="Wingdings" pitchFamily="2" charset="2"/>
            <a:buNone/>
            <a:defRPr/>
          </a:pPr>
          <a:r>
            <a:rPr lang="da-DK" sz="1000">
              <a:solidFill>
                <a:srgbClr val="FF0000"/>
              </a:solidFill>
              <a:latin typeface="+mn-lt"/>
            </a:rPr>
            <a:t>Exit</a:t>
          </a:r>
          <a:r>
            <a:rPr lang="da-DK" sz="1000" baseline="0">
              <a:solidFill>
                <a:srgbClr val="FF0000"/>
              </a:solidFill>
              <a:latin typeface="+mn-lt"/>
            </a:rPr>
            <a:t> </a:t>
          </a:r>
          <a:r>
            <a:rPr lang="da-DK" sz="1000" baseline="0">
              <a:solidFill>
                <a:sysClr val="windowText" lastClr="000000"/>
              </a:solidFill>
              <a:latin typeface="+mn-lt"/>
            </a:rPr>
            <a:t>- </a:t>
          </a:r>
          <a:r>
            <a:rPr lang="da-DK" sz="1000">
              <a:solidFill>
                <a:sysClr val="windowText" lastClr="000000"/>
              </a:solidFill>
              <a:latin typeface="+mn-lt"/>
            </a:rPr>
            <a:t>U</a:t>
          </a:r>
          <a:r>
            <a:rPr lang="da-DK" sz="1000">
              <a:latin typeface="+mn-lt"/>
            </a:rPr>
            <a:t>afbrydelig</a:t>
          </a:r>
          <a:r>
            <a:rPr lang="da-DK" sz="1000" kern="1200" baseline="0">
              <a:solidFill>
                <a:schemeClr val="tx1"/>
              </a:solidFill>
              <a:latin typeface="+mn-lt"/>
              <a:ea typeface="+mn-ea"/>
              <a:cs typeface="+mn-cs"/>
            </a:rPr>
            <a:t>:     3.066 MWh/h</a:t>
          </a:r>
        </a:p>
        <a:p>
          <a:pPr>
            <a:lnSpc>
              <a:spcPts val="1600"/>
            </a:lnSpc>
            <a:buFont typeface="Wingdings" pitchFamily="2" charset="2"/>
            <a:buNone/>
            <a:defRPr/>
          </a:pPr>
          <a:r>
            <a:rPr lang="da-DK" sz="1000">
              <a:solidFill>
                <a:srgbClr val="FF0000"/>
              </a:solidFill>
              <a:latin typeface="+mn-lt"/>
            </a:rPr>
            <a:t>Exit</a:t>
          </a:r>
          <a:r>
            <a:rPr lang="da-DK" sz="1000">
              <a:solidFill>
                <a:sysClr val="windowText" lastClr="000000"/>
              </a:solidFill>
              <a:latin typeface="+mn-lt"/>
            </a:rPr>
            <a:t> - A</a:t>
          </a:r>
          <a:r>
            <a:rPr lang="da-DK" sz="1000">
              <a:latin typeface="+mn-lt"/>
            </a:rPr>
            <a:t>fbrydelig:</a:t>
          </a:r>
          <a:r>
            <a:rPr lang="da-DK" sz="1000" baseline="0">
              <a:latin typeface="+mn-lt"/>
            </a:rPr>
            <a:t>           733 MWh/h</a:t>
          </a:r>
          <a:endParaRPr lang="da-DK" sz="1000">
            <a:latin typeface="+mn-lt"/>
          </a:endParaRPr>
        </a:p>
      </xdr:txBody>
    </xdr:sp>
    <xdr:clientData/>
  </xdr:twoCellAnchor>
  <xdr:twoCellAnchor>
    <xdr:from>
      <xdr:col>2</xdr:col>
      <xdr:colOff>314326</xdr:colOff>
      <xdr:row>21</xdr:row>
      <xdr:rowOff>53975</xdr:rowOff>
    </xdr:from>
    <xdr:to>
      <xdr:col>5</xdr:col>
      <xdr:colOff>523876</xdr:colOff>
      <xdr:row>26</xdr:row>
      <xdr:rowOff>76474</xdr:rowOff>
    </xdr:to>
    <xdr:sp macro="" textlink="">
      <xdr:nvSpPr>
        <xdr:cNvPr id="20" name="Tekstboks 67"/>
        <xdr:cNvSpPr txBox="1"/>
      </xdr:nvSpPr>
      <xdr:spPr>
        <a:xfrm>
          <a:off x="2133601" y="3454400"/>
          <a:ext cx="2038350" cy="83212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lIns="108000" tIns="108000" rIns="108000" bIns="108000">
          <a:spAutoFit/>
        </a:bodyPr>
        <a:lstStyle>
          <a:defPPr>
            <a:defRPr lang="da-DK"/>
          </a:defPPr>
          <a:lvl1pPr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1pPr>
          <a:lvl2pPr marL="4572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2pPr>
          <a:lvl3pPr marL="9144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3pPr>
          <a:lvl4pPr marL="13716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4pPr>
          <a:lvl5pPr marL="18288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>
            <a:lnSpc>
              <a:spcPts val="500"/>
            </a:lnSpc>
            <a:buFont typeface="Wingdings" pitchFamily="2" charset="2"/>
            <a:buNone/>
            <a:defRPr/>
          </a:pPr>
          <a:r>
            <a:rPr lang="da-DK" sz="1000" b="1" u="sng" kern="1200">
              <a:solidFill>
                <a:schemeClr val="tx1"/>
              </a:solidFill>
              <a:latin typeface="+mn-lt"/>
              <a:ea typeface="+mn-ea"/>
              <a:cs typeface="+mn-cs"/>
            </a:rPr>
            <a:t>Nybro</a:t>
          </a:r>
        </a:p>
        <a:p>
          <a:pPr>
            <a:lnSpc>
              <a:spcPts val="2200"/>
            </a:lnSpc>
            <a:buFont typeface="Wingdings" pitchFamily="2" charset="2"/>
            <a:buNone/>
            <a:defRPr/>
          </a:pPr>
          <a:r>
            <a:rPr lang="da-DK" sz="1000">
              <a:solidFill>
                <a:srgbClr val="00B050"/>
              </a:solidFill>
              <a:latin typeface="+mn-lt"/>
            </a:rPr>
            <a:t>Entry</a:t>
          </a:r>
          <a:r>
            <a:rPr lang="da-DK" sz="1000">
              <a:latin typeface="+mn-lt"/>
            </a:rPr>
            <a:t> - Uafbrydelig: 16.500 MWh/h</a:t>
          </a:r>
        </a:p>
        <a:p>
          <a:pPr>
            <a:lnSpc>
              <a:spcPts val="1600"/>
            </a:lnSpc>
            <a:buFont typeface="Wingdings" pitchFamily="2" charset="2"/>
            <a:buNone/>
            <a:defRPr/>
          </a:pPr>
          <a:r>
            <a:rPr lang="da-DK" sz="1000">
              <a:solidFill>
                <a:srgbClr val="FF0000"/>
              </a:solidFill>
              <a:latin typeface="+mn-lt"/>
            </a:rPr>
            <a:t>Exit</a:t>
          </a:r>
          <a:r>
            <a:rPr lang="da-DK" sz="1000" kern="1200">
              <a:solidFill>
                <a:schemeClr val="tx1"/>
              </a:solidFill>
              <a:latin typeface="+mn-lt"/>
              <a:ea typeface="+mn-ea"/>
              <a:cs typeface="+mn-cs"/>
            </a:rPr>
            <a:t>:                                      0 MWh/h</a:t>
          </a:r>
        </a:p>
      </xdr:txBody>
    </xdr:sp>
    <xdr:clientData/>
  </xdr:twoCellAnchor>
  <xdr:twoCellAnchor>
    <xdr:from>
      <xdr:col>6</xdr:col>
      <xdr:colOff>244476</xdr:colOff>
      <xdr:row>19</xdr:row>
      <xdr:rowOff>90488</xdr:rowOff>
    </xdr:from>
    <xdr:to>
      <xdr:col>10</xdr:col>
      <xdr:colOff>314326</xdr:colOff>
      <xdr:row>24</xdr:row>
      <xdr:rowOff>36042</xdr:rowOff>
    </xdr:to>
    <xdr:sp macro="" textlink="">
      <xdr:nvSpPr>
        <xdr:cNvPr id="21" name="Tekstboks 71"/>
        <xdr:cNvSpPr txBox="1"/>
      </xdr:nvSpPr>
      <xdr:spPr>
        <a:xfrm>
          <a:off x="4502151" y="3167063"/>
          <a:ext cx="2508250" cy="75517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lIns="108000" tIns="108000" rIns="108000" bIns="108000">
          <a:spAutoFit/>
        </a:bodyPr>
        <a:lstStyle>
          <a:defPPr>
            <a:defRPr lang="da-DK"/>
          </a:defPPr>
          <a:lvl1pPr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1pPr>
          <a:lvl2pPr marL="4572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2pPr>
          <a:lvl3pPr marL="9144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3pPr>
          <a:lvl4pPr marL="13716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4pPr>
          <a:lvl5pPr marL="18288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>
            <a:lnSpc>
              <a:spcPts val="500"/>
            </a:lnSpc>
            <a:buFont typeface="Wingdings" pitchFamily="2" charset="2"/>
            <a:buNone/>
            <a:defRPr/>
          </a:pPr>
          <a:r>
            <a:rPr lang="da-DK" sz="1000" b="1" u="sng">
              <a:latin typeface="+mn-lt"/>
            </a:rPr>
            <a:t>Stenlille</a:t>
          </a:r>
          <a:r>
            <a:rPr lang="da-DK" sz="1000" b="1" u="sng" baseline="30000">
              <a:latin typeface="+mn-lt"/>
            </a:rPr>
            <a:t>2</a:t>
          </a:r>
        </a:p>
        <a:p>
          <a:pPr marL="0" indent="0" algn="l" rtl="0" fontAlgn="base">
            <a:lnSpc>
              <a:spcPts val="16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None/>
            <a:defRPr/>
          </a:pPr>
          <a:r>
            <a:rPr lang="da-DK" sz="1000" kern="1200">
              <a:solidFill>
                <a:srgbClr val="00B050"/>
              </a:solidFill>
              <a:latin typeface="+mn-lt"/>
              <a:ea typeface="+mn-ea"/>
              <a:cs typeface="+mn-cs"/>
            </a:rPr>
            <a:t>Entry</a:t>
          </a:r>
          <a:r>
            <a:rPr lang="da-DK" sz="1000" kern="1200" baseline="0">
              <a:solidFill>
                <a:srgbClr val="00B050"/>
              </a:solidFill>
              <a:latin typeface="+mn-lt"/>
              <a:ea typeface="+mn-ea"/>
              <a:cs typeface="+mn-cs"/>
            </a:rPr>
            <a:t> (udtræk)</a:t>
          </a:r>
          <a:r>
            <a:rPr lang="da-DK" sz="1000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lang="da-DK" sz="1000" kern="12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- U</a:t>
          </a:r>
          <a:r>
            <a:rPr lang="da-DK" sz="1000" kern="1200">
              <a:solidFill>
                <a:schemeClr val="tx1"/>
              </a:solidFill>
              <a:latin typeface="+mn-lt"/>
              <a:ea typeface="+mn-ea"/>
              <a:cs typeface="+mn-cs"/>
            </a:rPr>
            <a:t>afbrydelig:  4.100 MWh/h</a:t>
          </a:r>
        </a:p>
        <a:p>
          <a:pPr>
            <a:lnSpc>
              <a:spcPts val="1600"/>
            </a:lnSpc>
            <a:buFont typeface="Wingdings" pitchFamily="2" charset="2"/>
            <a:buNone/>
            <a:defRPr/>
          </a:pPr>
          <a:r>
            <a:rPr lang="da-DK" sz="1000">
              <a:solidFill>
                <a:srgbClr val="FF0000"/>
              </a:solidFill>
              <a:latin typeface="+mn-lt"/>
            </a:rPr>
            <a:t>Exit (injektion) </a:t>
          </a:r>
          <a:r>
            <a:rPr lang="da-DK" sz="1000">
              <a:solidFill>
                <a:sysClr val="windowText" lastClr="000000"/>
              </a:solidFill>
              <a:latin typeface="+mn-lt"/>
            </a:rPr>
            <a:t>- </a:t>
          </a:r>
          <a:r>
            <a:rPr lang="da-DK" sz="1000" kern="1200">
              <a:solidFill>
                <a:schemeClr val="tx1"/>
              </a:solidFill>
              <a:latin typeface="+mn-lt"/>
              <a:ea typeface="+mn-ea"/>
              <a:cs typeface="+mn-cs"/>
            </a:rPr>
            <a:t>Uafbrydelig :  2.390 MWh/h</a:t>
          </a:r>
        </a:p>
      </xdr:txBody>
    </xdr:sp>
    <xdr:clientData/>
  </xdr:twoCellAnchor>
  <xdr:twoCellAnchor>
    <xdr:from>
      <xdr:col>8</xdr:col>
      <xdr:colOff>285750</xdr:colOff>
      <xdr:row>9</xdr:row>
      <xdr:rowOff>98425</xdr:rowOff>
    </xdr:from>
    <xdr:to>
      <xdr:col>11</xdr:col>
      <xdr:colOff>495300</xdr:colOff>
      <xdr:row>13</xdr:row>
      <xdr:rowOff>20726</xdr:rowOff>
    </xdr:to>
    <xdr:sp macro="" textlink="">
      <xdr:nvSpPr>
        <xdr:cNvPr id="22" name="Tekstboks 50"/>
        <xdr:cNvSpPr txBox="1"/>
      </xdr:nvSpPr>
      <xdr:spPr>
        <a:xfrm>
          <a:off x="5762625" y="1555750"/>
          <a:ext cx="2038350" cy="570001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lIns="108000" tIns="108000" rIns="108000" bIns="108000">
          <a:spAutoFit/>
        </a:bodyPr>
        <a:lstStyle>
          <a:defPPr>
            <a:defRPr lang="da-DK"/>
          </a:defPPr>
          <a:lvl1pPr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1pPr>
          <a:lvl2pPr marL="4572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2pPr>
          <a:lvl3pPr marL="9144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3pPr>
          <a:lvl4pPr marL="13716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4pPr>
          <a:lvl5pPr marL="18288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>
            <a:lnSpc>
              <a:spcPts val="400"/>
            </a:lnSpc>
            <a:buFont typeface="Wingdings" pitchFamily="2" charset="2"/>
            <a:buNone/>
            <a:defRPr/>
          </a:pPr>
          <a:r>
            <a:rPr lang="da-DK" sz="1000" b="1" u="sng">
              <a:solidFill>
                <a:sysClr val="windowText" lastClr="000000"/>
              </a:solidFill>
              <a:latin typeface="+mn-lt"/>
            </a:rPr>
            <a:t>Exit </a:t>
          </a:r>
          <a:r>
            <a:rPr lang="da-DK" sz="1000" b="1" u="sng">
              <a:latin typeface="+mn-lt"/>
            </a:rPr>
            <a:t>DK</a:t>
          </a:r>
        </a:p>
        <a:p>
          <a:pPr>
            <a:lnSpc>
              <a:spcPts val="2100"/>
            </a:lnSpc>
            <a:buFont typeface="Wingdings" pitchFamily="2" charset="2"/>
            <a:buNone/>
            <a:defRPr/>
          </a:pPr>
          <a:r>
            <a:rPr lang="da-DK" sz="1000">
              <a:solidFill>
                <a:srgbClr val="FF0000"/>
              </a:solidFill>
              <a:latin typeface="+mn-lt"/>
            </a:rPr>
            <a:t>Exit </a:t>
          </a:r>
          <a:r>
            <a:rPr lang="da-DK" sz="1000">
              <a:solidFill>
                <a:sysClr val="windowText" lastClr="000000"/>
              </a:solidFill>
              <a:latin typeface="+mn-lt"/>
            </a:rPr>
            <a:t>- </a:t>
          </a:r>
          <a:r>
            <a:rPr lang="da-DK" sz="1000">
              <a:latin typeface="+mn-lt"/>
            </a:rPr>
            <a:t>Uafbrydelig:  12.984 MWh/h</a:t>
          </a:r>
          <a:endParaRPr lang="da-DK" sz="1000" kern="1200">
            <a:solidFill>
              <a:srgbClr val="FF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342901</xdr:colOff>
      <xdr:row>31</xdr:row>
      <xdr:rowOff>28575</xdr:rowOff>
    </xdr:from>
    <xdr:to>
      <xdr:col>14</xdr:col>
      <xdr:colOff>152400</xdr:colOff>
      <xdr:row>41</xdr:row>
      <xdr:rowOff>19050</xdr:rowOff>
    </xdr:to>
    <xdr:sp macro="" textlink="">
      <xdr:nvSpPr>
        <xdr:cNvPr id="23" name="Tekstboks 61"/>
        <xdr:cNvSpPr txBox="1"/>
      </xdr:nvSpPr>
      <xdr:spPr>
        <a:xfrm>
          <a:off x="5210176" y="5048250"/>
          <a:ext cx="4076699" cy="160972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lIns="108000" tIns="108000" rIns="108000" bIns="108000">
          <a:noAutofit/>
        </a:bodyPr>
        <a:lstStyle>
          <a:defPPr>
            <a:defRPr lang="da-DK"/>
          </a:defPPr>
          <a:lvl1pPr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1pPr>
          <a:lvl2pPr marL="4572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2pPr>
          <a:lvl3pPr marL="9144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3pPr>
          <a:lvl4pPr marL="13716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4pPr>
          <a:lvl5pPr marL="18288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>
            <a:lnSpc>
              <a:spcPct val="100000"/>
            </a:lnSpc>
            <a:buFont typeface="Wingdings" pitchFamily="2" charset="2"/>
            <a:buNone/>
            <a:defRPr/>
          </a:pPr>
          <a:r>
            <a:rPr lang="da-DK" sz="1000" b="1" u="sng" baseline="0">
              <a:latin typeface="+mn-lt"/>
            </a:rPr>
            <a:t>Noter</a:t>
          </a:r>
        </a:p>
        <a:p>
          <a:pPr>
            <a:lnSpc>
              <a:spcPct val="100000"/>
            </a:lnSpc>
            <a:buFont typeface="Wingdings" pitchFamily="2" charset="2"/>
            <a:buNone/>
            <a:defRPr/>
          </a:pPr>
          <a:r>
            <a:rPr lang="da-DK" sz="1000" b="0" baseline="0">
              <a:latin typeface="+mn-lt"/>
            </a:rPr>
            <a:t>1: Der kan kun leveres ca. 4.950 MWh/h fra det tyske system på uafbrydelig basis. </a:t>
          </a:r>
        </a:p>
        <a:p>
          <a:pPr>
            <a:lnSpc>
              <a:spcPct val="100000"/>
            </a:lnSpc>
            <a:buFont typeface="Wingdings" pitchFamily="2" charset="2"/>
            <a:buNone/>
            <a:defRPr/>
          </a:pPr>
          <a:r>
            <a:rPr lang="da-DK" sz="1000" b="0" baseline="0">
              <a:latin typeface="+mn-lt"/>
            </a:rPr>
            <a:t>2: Oplyst af Energinet.dk Gaslager. Energinet.dk kan ikke under alle driftsforhold understøtte den angivne injektionskapacitet.</a:t>
          </a:r>
        </a:p>
        <a:p>
          <a:pPr>
            <a:lnSpc>
              <a:spcPct val="100000"/>
            </a:lnSpc>
            <a:buFont typeface="Wingdings" pitchFamily="2" charset="2"/>
            <a:buNone/>
            <a:defRPr/>
          </a:pPr>
          <a:r>
            <a:rPr lang="da-DK" sz="1000" b="0" baseline="0">
              <a:latin typeface="+mn-lt"/>
            </a:rPr>
            <a:t>Generelt: Der anvendes generelt øvre brændværdi for naturgassen. Aktuelt  anvendes brændværdi 12,1 kWh/m3. For gas fra Tyskland anvendes 11,0 kWh/m3. </a:t>
          </a:r>
        </a:p>
      </xdr:txBody>
    </xdr:sp>
    <xdr:clientData/>
  </xdr:twoCellAnchor>
  <xdr:twoCellAnchor editAs="oneCell">
    <xdr:from>
      <xdr:col>19</xdr:col>
      <xdr:colOff>228600</xdr:colOff>
      <xdr:row>5</xdr:row>
      <xdr:rowOff>104775</xdr:rowOff>
    </xdr:from>
    <xdr:to>
      <xdr:col>27</xdr:col>
      <xdr:colOff>285750</xdr:colOff>
      <xdr:row>38</xdr:row>
      <xdr:rowOff>152400</xdr:rowOff>
    </xdr:to>
    <xdr:pic>
      <xdr:nvPicPr>
        <xdr:cNvPr id="2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92225" y="914400"/>
          <a:ext cx="4933950" cy="5391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21</xdr:col>
      <xdr:colOff>0</xdr:colOff>
      <xdr:row>12</xdr:row>
      <xdr:rowOff>47625</xdr:rowOff>
    </xdr:from>
    <xdr:to>
      <xdr:col>21</xdr:col>
      <xdr:colOff>0</xdr:colOff>
      <xdr:row>39</xdr:row>
      <xdr:rowOff>66675</xdr:rowOff>
    </xdr:to>
    <xdr:cxnSp macro="">
      <xdr:nvCxnSpPr>
        <xdr:cNvPr id="25" name="Lige forbindelse 24"/>
        <xdr:cNvCxnSpPr>
          <a:cxnSpLocks noChangeShapeType="1"/>
        </xdr:cNvCxnSpPr>
      </xdr:nvCxnSpPr>
      <xdr:spPr bwMode="auto">
        <a:xfrm>
          <a:off x="14982825" y="1990725"/>
          <a:ext cx="0" cy="4391025"/>
        </a:xfrm>
        <a:prstGeom prst="line">
          <a:avLst/>
        </a:prstGeom>
        <a:noFill/>
        <a:ln w="38100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cxnSp>
    <xdr:clientData/>
  </xdr:twoCellAnchor>
  <xdr:twoCellAnchor>
    <xdr:from>
      <xdr:col>21</xdr:col>
      <xdr:colOff>0</xdr:colOff>
      <xdr:row>12</xdr:row>
      <xdr:rowOff>47625</xdr:rowOff>
    </xdr:from>
    <xdr:to>
      <xdr:col>23</xdr:col>
      <xdr:colOff>200025</xdr:colOff>
      <xdr:row>17</xdr:row>
      <xdr:rowOff>104775</xdr:rowOff>
    </xdr:to>
    <xdr:cxnSp macro="">
      <xdr:nvCxnSpPr>
        <xdr:cNvPr id="26" name="Lige forbindelse 25"/>
        <xdr:cNvCxnSpPr>
          <a:cxnSpLocks noChangeShapeType="1"/>
        </xdr:cNvCxnSpPr>
      </xdr:nvCxnSpPr>
      <xdr:spPr bwMode="auto">
        <a:xfrm flipH="1">
          <a:off x="14982825" y="1990725"/>
          <a:ext cx="1419225" cy="866775"/>
        </a:xfrm>
        <a:prstGeom prst="line">
          <a:avLst/>
        </a:prstGeom>
        <a:noFill/>
        <a:ln w="38100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cxnSp>
    <xdr:clientData/>
  </xdr:twoCellAnchor>
  <xdr:twoCellAnchor>
    <xdr:from>
      <xdr:col>25</xdr:col>
      <xdr:colOff>152400</xdr:colOff>
      <xdr:row>24</xdr:row>
      <xdr:rowOff>133350</xdr:rowOff>
    </xdr:from>
    <xdr:to>
      <xdr:col>25</xdr:col>
      <xdr:colOff>390525</xdr:colOff>
      <xdr:row>28</xdr:row>
      <xdr:rowOff>47625</xdr:rowOff>
    </xdr:to>
    <xdr:cxnSp macro="">
      <xdr:nvCxnSpPr>
        <xdr:cNvPr id="27" name="Lige forbindelse 26"/>
        <xdr:cNvCxnSpPr>
          <a:cxnSpLocks noChangeShapeType="1"/>
        </xdr:cNvCxnSpPr>
      </xdr:nvCxnSpPr>
      <xdr:spPr bwMode="auto">
        <a:xfrm>
          <a:off x="17573625" y="4019550"/>
          <a:ext cx="238125" cy="561975"/>
        </a:xfrm>
        <a:prstGeom prst="line">
          <a:avLst/>
        </a:prstGeom>
        <a:noFill/>
        <a:ln w="38100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352425</xdr:colOff>
      <xdr:row>28</xdr:row>
      <xdr:rowOff>47625</xdr:rowOff>
    </xdr:from>
    <xdr:to>
      <xdr:col>29</xdr:col>
      <xdr:colOff>161925</xdr:colOff>
      <xdr:row>28</xdr:row>
      <xdr:rowOff>47625</xdr:rowOff>
    </xdr:to>
    <xdr:cxnSp macro="">
      <xdr:nvCxnSpPr>
        <xdr:cNvPr id="28" name="Lige forbindelse 27"/>
        <xdr:cNvCxnSpPr>
          <a:cxnSpLocks noChangeShapeType="1"/>
        </xdr:cNvCxnSpPr>
      </xdr:nvCxnSpPr>
      <xdr:spPr bwMode="auto">
        <a:xfrm flipV="1">
          <a:off x="12677775" y="4581525"/>
          <a:ext cx="7343775" cy="0"/>
        </a:xfrm>
        <a:prstGeom prst="line">
          <a:avLst/>
        </a:prstGeom>
        <a:noFill/>
        <a:ln w="38100" algn="ctr">
          <a:solidFill>
            <a:srgbClr val="FF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cxnSp>
    <xdr:clientData/>
  </xdr:twoCellAnchor>
  <xdr:twoCellAnchor>
    <xdr:from>
      <xdr:col>25</xdr:col>
      <xdr:colOff>276225</xdr:colOff>
      <xdr:row>24</xdr:row>
      <xdr:rowOff>85725</xdr:rowOff>
    </xdr:from>
    <xdr:to>
      <xdr:col>25</xdr:col>
      <xdr:colOff>476250</xdr:colOff>
      <xdr:row>26</xdr:row>
      <xdr:rowOff>152400</xdr:rowOff>
    </xdr:to>
    <xdr:cxnSp macro="">
      <xdr:nvCxnSpPr>
        <xdr:cNvPr id="29" name="Lige forbindelse 28"/>
        <xdr:cNvCxnSpPr>
          <a:cxnSpLocks noChangeShapeType="1"/>
        </xdr:cNvCxnSpPr>
      </xdr:nvCxnSpPr>
      <xdr:spPr bwMode="auto">
        <a:xfrm>
          <a:off x="17697450" y="3971925"/>
          <a:ext cx="200025" cy="390525"/>
        </a:xfrm>
        <a:prstGeom prst="line">
          <a:avLst/>
        </a:prstGeom>
        <a:noFill/>
        <a:ln w="38100" algn="ctr">
          <a:solidFill>
            <a:srgbClr val="00B0F0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cxnSp>
    <xdr:clientData/>
  </xdr:twoCellAnchor>
  <xdr:twoCellAnchor>
    <xdr:from>
      <xdr:col>21</xdr:col>
      <xdr:colOff>495300</xdr:colOff>
      <xdr:row>11</xdr:row>
      <xdr:rowOff>95250</xdr:rowOff>
    </xdr:from>
    <xdr:to>
      <xdr:col>22</xdr:col>
      <xdr:colOff>590550</xdr:colOff>
      <xdr:row>13</xdr:row>
      <xdr:rowOff>152400</xdr:rowOff>
    </xdr:to>
    <xdr:cxnSp macro="">
      <xdr:nvCxnSpPr>
        <xdr:cNvPr id="30" name="Lige forbindelse 29"/>
        <xdr:cNvCxnSpPr>
          <a:cxnSpLocks noChangeShapeType="1"/>
        </xdr:cNvCxnSpPr>
      </xdr:nvCxnSpPr>
      <xdr:spPr bwMode="auto">
        <a:xfrm flipH="1">
          <a:off x="15478125" y="1876425"/>
          <a:ext cx="704850" cy="381000"/>
        </a:xfrm>
        <a:prstGeom prst="line">
          <a:avLst/>
        </a:prstGeom>
        <a:noFill/>
        <a:ln w="38100" algn="ctr">
          <a:solidFill>
            <a:srgbClr val="00B0F0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cxnSp>
    <xdr:clientData/>
  </xdr:twoCellAnchor>
  <xdr:twoCellAnchor>
    <xdr:from>
      <xdr:col>24</xdr:col>
      <xdr:colOff>590550</xdr:colOff>
      <xdr:row>24</xdr:row>
      <xdr:rowOff>123826</xdr:rowOff>
    </xdr:from>
    <xdr:to>
      <xdr:col>25</xdr:col>
      <xdr:colOff>161925</xdr:colOff>
      <xdr:row>27</xdr:row>
      <xdr:rowOff>28575</xdr:rowOff>
    </xdr:to>
    <xdr:cxnSp macro="">
      <xdr:nvCxnSpPr>
        <xdr:cNvPr id="31" name="Lige forbindelse 30"/>
        <xdr:cNvCxnSpPr>
          <a:cxnSpLocks noChangeShapeType="1"/>
        </xdr:cNvCxnSpPr>
      </xdr:nvCxnSpPr>
      <xdr:spPr bwMode="auto">
        <a:xfrm flipH="1" flipV="1">
          <a:off x="17402175" y="4010026"/>
          <a:ext cx="180975" cy="390524"/>
        </a:xfrm>
        <a:prstGeom prst="line">
          <a:avLst/>
        </a:prstGeom>
        <a:noFill/>
        <a:ln w="38100" algn="ctr">
          <a:solidFill>
            <a:srgbClr val="00B0F0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cxnSp>
    <xdr:clientData/>
  </xdr:twoCellAnchor>
  <xdr:twoCellAnchor>
    <xdr:from>
      <xdr:col>27</xdr:col>
      <xdr:colOff>495300</xdr:colOff>
      <xdr:row>27</xdr:row>
      <xdr:rowOff>28575</xdr:rowOff>
    </xdr:from>
    <xdr:to>
      <xdr:col>29</xdr:col>
      <xdr:colOff>161925</xdr:colOff>
      <xdr:row>27</xdr:row>
      <xdr:rowOff>28575</xdr:rowOff>
    </xdr:to>
    <xdr:cxnSp macro="">
      <xdr:nvCxnSpPr>
        <xdr:cNvPr id="32" name="Lige forbindelse 31"/>
        <xdr:cNvCxnSpPr>
          <a:cxnSpLocks noChangeShapeType="1"/>
        </xdr:cNvCxnSpPr>
      </xdr:nvCxnSpPr>
      <xdr:spPr bwMode="auto">
        <a:xfrm flipH="1">
          <a:off x="19135725" y="4400550"/>
          <a:ext cx="885825" cy="0"/>
        </a:xfrm>
        <a:prstGeom prst="line">
          <a:avLst/>
        </a:prstGeom>
        <a:noFill/>
        <a:ln w="38100" algn="ctr">
          <a:solidFill>
            <a:srgbClr val="00B0F0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cxnSp>
    <xdr:clientData/>
  </xdr:twoCellAnchor>
  <xdr:twoCellAnchor>
    <xdr:from>
      <xdr:col>27</xdr:col>
      <xdr:colOff>523875</xdr:colOff>
      <xdr:row>29</xdr:row>
      <xdr:rowOff>104775</xdr:rowOff>
    </xdr:from>
    <xdr:to>
      <xdr:col>29</xdr:col>
      <xdr:colOff>209550</xdr:colOff>
      <xdr:row>29</xdr:row>
      <xdr:rowOff>104775</xdr:rowOff>
    </xdr:to>
    <xdr:cxnSp macro="">
      <xdr:nvCxnSpPr>
        <xdr:cNvPr id="33" name="Lige forbindelse 32"/>
        <xdr:cNvCxnSpPr>
          <a:cxnSpLocks noChangeShapeType="1"/>
        </xdr:cNvCxnSpPr>
      </xdr:nvCxnSpPr>
      <xdr:spPr bwMode="auto">
        <a:xfrm>
          <a:off x="19164300" y="4800600"/>
          <a:ext cx="904875" cy="0"/>
        </a:xfrm>
        <a:prstGeom prst="line">
          <a:avLst/>
        </a:prstGeom>
        <a:noFill/>
        <a:ln w="38100" algn="ctr">
          <a:solidFill>
            <a:srgbClr val="00B0F0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276225</xdr:colOff>
      <xdr:row>34</xdr:row>
      <xdr:rowOff>142875</xdr:rowOff>
    </xdr:from>
    <xdr:to>
      <xdr:col>20</xdr:col>
      <xdr:colOff>276225</xdr:colOff>
      <xdr:row>39</xdr:row>
      <xdr:rowOff>142875</xdr:rowOff>
    </xdr:to>
    <xdr:cxnSp macro="">
      <xdr:nvCxnSpPr>
        <xdr:cNvPr id="34" name="Lige forbindelse 33"/>
        <xdr:cNvCxnSpPr>
          <a:cxnSpLocks noChangeShapeType="1"/>
        </xdr:cNvCxnSpPr>
      </xdr:nvCxnSpPr>
      <xdr:spPr bwMode="auto">
        <a:xfrm flipV="1">
          <a:off x="14649450" y="5648325"/>
          <a:ext cx="0" cy="809625"/>
        </a:xfrm>
        <a:prstGeom prst="line">
          <a:avLst/>
        </a:prstGeom>
        <a:noFill/>
        <a:ln w="38100" algn="ctr">
          <a:solidFill>
            <a:srgbClr val="00B0F0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cxnSp>
    <xdr:clientData/>
  </xdr:twoCellAnchor>
  <xdr:twoCellAnchor>
    <xdr:from>
      <xdr:col>21</xdr:col>
      <xdr:colOff>428625</xdr:colOff>
      <xdr:row>35</xdr:row>
      <xdr:rowOff>28575</xdr:rowOff>
    </xdr:from>
    <xdr:to>
      <xdr:col>21</xdr:col>
      <xdr:colOff>428625</xdr:colOff>
      <xdr:row>40</xdr:row>
      <xdr:rowOff>9525</xdr:rowOff>
    </xdr:to>
    <xdr:cxnSp macro="">
      <xdr:nvCxnSpPr>
        <xdr:cNvPr id="35" name="Lige forbindelse 34"/>
        <xdr:cNvCxnSpPr>
          <a:cxnSpLocks noChangeShapeType="1"/>
        </xdr:cNvCxnSpPr>
      </xdr:nvCxnSpPr>
      <xdr:spPr bwMode="auto">
        <a:xfrm>
          <a:off x="15411450" y="5695950"/>
          <a:ext cx="0" cy="790575"/>
        </a:xfrm>
        <a:prstGeom prst="line">
          <a:avLst/>
        </a:prstGeom>
        <a:noFill/>
        <a:ln w="38100" algn="ctr">
          <a:solidFill>
            <a:srgbClr val="00B0F0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cxnSp>
    <xdr:clientData/>
  </xdr:twoCellAnchor>
  <xdr:twoCellAnchor>
    <xdr:from>
      <xdr:col>22</xdr:col>
      <xdr:colOff>66675</xdr:colOff>
      <xdr:row>13</xdr:row>
      <xdr:rowOff>152400</xdr:rowOff>
    </xdr:from>
    <xdr:to>
      <xdr:col>23</xdr:col>
      <xdr:colOff>257175</xdr:colOff>
      <xdr:row>16</xdr:row>
      <xdr:rowOff>85725</xdr:rowOff>
    </xdr:to>
    <xdr:cxnSp macro="">
      <xdr:nvCxnSpPr>
        <xdr:cNvPr id="36" name="Lige forbindelse 35"/>
        <xdr:cNvCxnSpPr>
          <a:cxnSpLocks noChangeShapeType="1"/>
        </xdr:cNvCxnSpPr>
      </xdr:nvCxnSpPr>
      <xdr:spPr bwMode="auto">
        <a:xfrm flipV="1">
          <a:off x="15659100" y="2257425"/>
          <a:ext cx="800100" cy="419100"/>
        </a:xfrm>
        <a:prstGeom prst="line">
          <a:avLst/>
        </a:prstGeom>
        <a:noFill/>
        <a:ln w="38100" algn="ctr">
          <a:solidFill>
            <a:srgbClr val="00B0F0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419100</xdr:colOff>
      <xdr:row>27</xdr:row>
      <xdr:rowOff>66675</xdr:rowOff>
    </xdr:from>
    <xdr:to>
      <xdr:col>19</xdr:col>
      <xdr:colOff>228600</xdr:colOff>
      <xdr:row>27</xdr:row>
      <xdr:rowOff>66675</xdr:rowOff>
    </xdr:to>
    <xdr:cxnSp macro="">
      <xdr:nvCxnSpPr>
        <xdr:cNvPr id="37" name="Lige forbindelse 36"/>
        <xdr:cNvCxnSpPr>
          <a:cxnSpLocks noChangeShapeType="1"/>
        </xdr:cNvCxnSpPr>
      </xdr:nvCxnSpPr>
      <xdr:spPr bwMode="auto">
        <a:xfrm>
          <a:off x="12744450" y="4438650"/>
          <a:ext cx="1247775" cy="0"/>
        </a:xfrm>
        <a:prstGeom prst="line">
          <a:avLst/>
        </a:prstGeom>
        <a:noFill/>
        <a:ln w="38100" algn="ctr">
          <a:solidFill>
            <a:srgbClr val="00B0F0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352425</xdr:colOff>
      <xdr:row>29</xdr:row>
      <xdr:rowOff>28575</xdr:rowOff>
    </xdr:from>
    <xdr:to>
      <xdr:col>19</xdr:col>
      <xdr:colOff>228600</xdr:colOff>
      <xdr:row>29</xdr:row>
      <xdr:rowOff>28575</xdr:rowOff>
    </xdr:to>
    <xdr:cxnSp macro="">
      <xdr:nvCxnSpPr>
        <xdr:cNvPr id="38" name="Lige forbindelse 37"/>
        <xdr:cNvCxnSpPr>
          <a:cxnSpLocks noChangeShapeType="1"/>
        </xdr:cNvCxnSpPr>
      </xdr:nvCxnSpPr>
      <xdr:spPr bwMode="auto">
        <a:xfrm flipH="1">
          <a:off x="12677775" y="4724400"/>
          <a:ext cx="1314450" cy="0"/>
        </a:xfrm>
        <a:prstGeom prst="line">
          <a:avLst/>
        </a:prstGeom>
        <a:noFill/>
        <a:ln w="38100" algn="ctr">
          <a:solidFill>
            <a:srgbClr val="00B0F0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cxnSp>
    <xdr:clientData/>
  </xdr:twoCellAnchor>
  <xdr:twoCellAnchor>
    <xdr:from>
      <xdr:col>18</xdr:col>
      <xdr:colOff>63500</xdr:colOff>
      <xdr:row>6</xdr:row>
      <xdr:rowOff>111125</xdr:rowOff>
    </xdr:from>
    <xdr:to>
      <xdr:col>22</xdr:col>
      <xdr:colOff>285750</xdr:colOff>
      <xdr:row>11</xdr:row>
      <xdr:rowOff>133624</xdr:rowOff>
    </xdr:to>
    <xdr:sp macro="" textlink="">
      <xdr:nvSpPr>
        <xdr:cNvPr id="39" name="Tekstboks 61"/>
        <xdr:cNvSpPr txBox="1"/>
      </xdr:nvSpPr>
      <xdr:spPr>
        <a:xfrm>
          <a:off x="13141325" y="1082675"/>
          <a:ext cx="2736850" cy="83212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lIns="108000" tIns="108000" rIns="108000" bIns="108000">
          <a:spAutoFit/>
        </a:bodyPr>
        <a:lstStyle>
          <a:defPPr>
            <a:defRPr lang="da-DK"/>
          </a:defPPr>
          <a:lvl1pPr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1pPr>
          <a:lvl2pPr marL="4572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2pPr>
          <a:lvl3pPr marL="9144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3pPr>
          <a:lvl4pPr marL="13716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4pPr>
          <a:lvl5pPr marL="18288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>
            <a:lnSpc>
              <a:spcPts val="500"/>
            </a:lnSpc>
            <a:buFont typeface="Wingdings" pitchFamily="2" charset="2"/>
            <a:buNone/>
            <a:defRPr/>
          </a:pPr>
          <a:r>
            <a:rPr lang="da-DK" sz="1000" b="1" u="sng">
              <a:latin typeface="+mn-lt"/>
            </a:rPr>
            <a:t>Ll. Torup</a:t>
          </a:r>
          <a:r>
            <a:rPr lang="da-DK" sz="1000" b="1" u="sng" baseline="30000">
              <a:latin typeface="+mn-lt"/>
            </a:rPr>
            <a:t>2</a:t>
          </a:r>
        </a:p>
        <a:p>
          <a:pPr>
            <a:lnSpc>
              <a:spcPts val="2200"/>
            </a:lnSpc>
            <a:buFont typeface="Wingdings" pitchFamily="2" charset="2"/>
            <a:buNone/>
            <a:defRPr/>
          </a:pPr>
          <a:r>
            <a:rPr lang="da-DK" sz="1000">
              <a:solidFill>
                <a:srgbClr val="00B050"/>
              </a:solidFill>
              <a:latin typeface="+mn-lt"/>
            </a:rPr>
            <a:t>Entry (extraction) </a:t>
          </a:r>
          <a:r>
            <a:rPr lang="da-DK" sz="1000">
              <a:solidFill>
                <a:sysClr val="windowText" lastClr="000000"/>
              </a:solidFill>
              <a:latin typeface="+mn-lt"/>
            </a:rPr>
            <a:t>-</a:t>
          </a:r>
          <a:r>
            <a:rPr lang="da-DK" sz="1000" baseline="0">
              <a:solidFill>
                <a:sysClr val="windowText" lastClr="000000"/>
              </a:solidFill>
              <a:latin typeface="+mn-lt"/>
            </a:rPr>
            <a:t> </a:t>
          </a:r>
          <a:r>
            <a:rPr lang="da-DK" sz="1000">
              <a:solidFill>
                <a:sysClr val="windowText" lastClr="000000"/>
              </a:solidFill>
              <a:latin typeface="+mn-lt"/>
            </a:rPr>
            <a:t>Firm:            4.000 MWh/h</a:t>
          </a:r>
        </a:p>
        <a:p>
          <a:pPr>
            <a:lnSpc>
              <a:spcPts val="1600"/>
            </a:lnSpc>
            <a:buFont typeface="Wingdings" pitchFamily="2" charset="2"/>
            <a:buNone/>
            <a:defRPr/>
          </a:pPr>
          <a:r>
            <a:rPr lang="da-DK" sz="1000">
              <a:solidFill>
                <a:srgbClr val="FF0000"/>
              </a:solidFill>
              <a:latin typeface="+mn-lt"/>
            </a:rPr>
            <a:t>Exit (injection)</a:t>
          </a:r>
          <a:r>
            <a:rPr lang="da-DK" sz="1000" baseline="0">
              <a:solidFill>
                <a:srgbClr val="FF0000"/>
              </a:solidFill>
              <a:latin typeface="+mn-lt"/>
            </a:rPr>
            <a:t> </a:t>
          </a:r>
          <a:r>
            <a:rPr lang="da-DK" sz="1000" baseline="0">
              <a:solidFill>
                <a:sysClr val="windowText" lastClr="000000"/>
              </a:solidFill>
              <a:latin typeface="+mn-lt"/>
            </a:rPr>
            <a:t>- </a:t>
          </a:r>
          <a:r>
            <a:rPr lang="da-DK" sz="1000">
              <a:solidFill>
                <a:sysClr val="windowText" lastClr="000000"/>
              </a:solidFill>
              <a:latin typeface="+mn-lt"/>
            </a:rPr>
            <a:t>Interruptible </a:t>
          </a:r>
          <a:r>
            <a:rPr lang="da-DK" sz="1000" kern="12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:  1.820</a:t>
          </a:r>
          <a:r>
            <a:rPr lang="da-DK" sz="1000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MWh/</a:t>
          </a:r>
          <a:r>
            <a:rPr lang="da-DK" sz="1000" kern="12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h</a:t>
          </a:r>
        </a:p>
      </xdr:txBody>
    </xdr:sp>
    <xdr:clientData/>
  </xdr:twoCellAnchor>
  <xdr:twoCellAnchor>
    <xdr:from>
      <xdr:col>25</xdr:col>
      <xdr:colOff>577850</xdr:colOff>
      <xdr:row>20</xdr:row>
      <xdr:rowOff>7938</xdr:rowOff>
    </xdr:from>
    <xdr:to>
      <xdr:col>29</xdr:col>
      <xdr:colOff>180975</xdr:colOff>
      <xdr:row>26</xdr:row>
      <xdr:rowOff>28042</xdr:rowOff>
    </xdr:to>
    <xdr:sp macro="" textlink="">
      <xdr:nvSpPr>
        <xdr:cNvPr id="40" name="Tekstboks 63"/>
        <xdr:cNvSpPr txBox="1"/>
      </xdr:nvSpPr>
      <xdr:spPr>
        <a:xfrm>
          <a:off x="17999075" y="3246438"/>
          <a:ext cx="2041525" cy="99165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lIns="108000" tIns="108000" rIns="108000" bIns="108000" numCol="1">
          <a:spAutoFit/>
        </a:bodyPr>
        <a:lstStyle>
          <a:defPPr>
            <a:defRPr lang="da-DK"/>
          </a:defPPr>
          <a:lvl1pPr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1pPr>
          <a:lvl2pPr marL="4572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2pPr>
          <a:lvl3pPr marL="9144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3pPr>
          <a:lvl4pPr marL="13716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4pPr>
          <a:lvl5pPr marL="18288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>
            <a:lnSpc>
              <a:spcPts val="500"/>
            </a:lnSpc>
            <a:buFont typeface="Wingdings" pitchFamily="2" charset="2"/>
            <a:buNone/>
            <a:defRPr/>
          </a:pPr>
          <a:r>
            <a:rPr lang="da-DK" sz="1000" b="1" u="sng">
              <a:latin typeface="+mn-lt"/>
            </a:rPr>
            <a:t>Dragør</a:t>
          </a:r>
        </a:p>
        <a:p>
          <a:pPr marL="0" indent="0" algn="l" rtl="0" fontAlgn="base">
            <a:lnSpc>
              <a:spcPts val="16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None/>
            <a:defRPr/>
          </a:pPr>
          <a:r>
            <a:rPr lang="da-DK" sz="1000">
              <a:solidFill>
                <a:srgbClr val="00B050"/>
              </a:solidFill>
              <a:latin typeface="+mn-lt"/>
            </a:rPr>
            <a:t>Entry</a:t>
          </a:r>
          <a:r>
            <a:rPr lang="da-DK" sz="1000">
              <a:solidFill>
                <a:sysClr val="windowText" lastClr="000000"/>
              </a:solidFill>
              <a:latin typeface="+mn-lt"/>
            </a:rPr>
            <a:t> -</a:t>
          </a:r>
          <a:r>
            <a:rPr lang="da-DK" sz="1000" baseline="0">
              <a:solidFill>
                <a:sysClr val="windowText" lastClr="000000"/>
              </a:solidFill>
              <a:latin typeface="+mn-lt"/>
            </a:rPr>
            <a:t> </a:t>
          </a:r>
          <a:r>
            <a:rPr lang="da-DK" sz="1000" baseline="0">
              <a:latin typeface="+mn-lt"/>
            </a:rPr>
            <a:t>Interruptible</a:t>
          </a:r>
          <a:r>
            <a:rPr lang="da-DK" sz="1000" kern="1200" baseline="0">
              <a:solidFill>
                <a:schemeClr val="tx1"/>
              </a:solidFill>
              <a:latin typeface="+mn-lt"/>
              <a:ea typeface="+mn-ea"/>
              <a:cs typeface="+mn-cs"/>
            </a:rPr>
            <a:t>:    600 MWh/h</a:t>
          </a:r>
        </a:p>
        <a:p>
          <a:pPr>
            <a:lnSpc>
              <a:spcPts val="1600"/>
            </a:lnSpc>
            <a:buFont typeface="Wingdings" pitchFamily="2" charset="2"/>
            <a:buNone/>
            <a:defRPr/>
          </a:pPr>
          <a:r>
            <a:rPr lang="da-DK" sz="1000">
              <a:solidFill>
                <a:srgbClr val="FF0000"/>
              </a:solidFill>
              <a:latin typeface="+mn-lt"/>
            </a:rPr>
            <a:t>Exit</a:t>
          </a:r>
          <a:r>
            <a:rPr lang="da-DK" sz="1000" baseline="0">
              <a:solidFill>
                <a:srgbClr val="FF0000"/>
              </a:solidFill>
              <a:latin typeface="+mn-lt"/>
            </a:rPr>
            <a:t> </a:t>
          </a:r>
          <a:r>
            <a:rPr lang="da-DK" sz="1000" baseline="0">
              <a:solidFill>
                <a:sysClr val="windowText" lastClr="000000"/>
              </a:solidFill>
              <a:latin typeface="+mn-lt"/>
            </a:rPr>
            <a:t>- </a:t>
          </a:r>
          <a:r>
            <a:rPr lang="da-DK" sz="1000">
              <a:solidFill>
                <a:sysClr val="windowText" lastClr="000000"/>
              </a:solidFill>
              <a:latin typeface="+mn-lt"/>
            </a:rPr>
            <a:t>Firm</a:t>
          </a:r>
          <a:r>
            <a:rPr lang="da-DK" sz="1000" kern="1200" baseline="0">
              <a:solidFill>
                <a:schemeClr val="tx1"/>
              </a:solidFill>
              <a:latin typeface="+mn-lt"/>
              <a:ea typeface="+mn-ea"/>
              <a:cs typeface="+mn-cs"/>
            </a:rPr>
            <a:t>:                  3.066 MWh/h</a:t>
          </a:r>
        </a:p>
        <a:p>
          <a:pPr>
            <a:lnSpc>
              <a:spcPts val="1600"/>
            </a:lnSpc>
            <a:buFont typeface="Wingdings" pitchFamily="2" charset="2"/>
            <a:buNone/>
            <a:defRPr/>
          </a:pPr>
          <a:r>
            <a:rPr lang="da-DK" sz="1000">
              <a:solidFill>
                <a:srgbClr val="FF0000"/>
              </a:solidFill>
              <a:latin typeface="+mn-lt"/>
            </a:rPr>
            <a:t>Exit</a:t>
          </a:r>
          <a:r>
            <a:rPr lang="da-DK" sz="1000">
              <a:solidFill>
                <a:sysClr val="windowText" lastClr="000000"/>
              </a:solidFill>
              <a:latin typeface="+mn-lt"/>
            </a:rPr>
            <a:t> - Interruptible</a:t>
          </a:r>
          <a:r>
            <a:rPr lang="da-DK" sz="1000">
              <a:latin typeface="+mn-lt"/>
            </a:rPr>
            <a:t>:</a:t>
          </a:r>
          <a:r>
            <a:rPr lang="da-DK" sz="1000" baseline="0">
              <a:latin typeface="+mn-lt"/>
            </a:rPr>
            <a:t>      733 MWh/h</a:t>
          </a:r>
          <a:endParaRPr lang="da-DK" sz="1000">
            <a:latin typeface="+mn-lt"/>
          </a:endParaRPr>
        </a:p>
      </xdr:txBody>
    </xdr:sp>
    <xdr:clientData/>
  </xdr:twoCellAnchor>
  <xdr:twoCellAnchor>
    <xdr:from>
      <xdr:col>16</xdr:col>
      <xdr:colOff>738188</xdr:colOff>
      <xdr:row>33</xdr:row>
      <xdr:rowOff>60325</xdr:rowOff>
    </xdr:from>
    <xdr:to>
      <xdr:col>20</xdr:col>
      <xdr:colOff>9526</xdr:colOff>
      <xdr:row>38</xdr:row>
      <xdr:rowOff>44352</xdr:rowOff>
    </xdr:to>
    <xdr:sp macro="" textlink="">
      <xdr:nvSpPr>
        <xdr:cNvPr id="41" name="Tekstboks 65"/>
        <xdr:cNvSpPr txBox="1"/>
      </xdr:nvSpPr>
      <xdr:spPr>
        <a:xfrm>
          <a:off x="12311063" y="5403850"/>
          <a:ext cx="2071688" cy="793652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txBody>
        <a:bodyPr wrap="square" lIns="108000" tIns="108000" rIns="108000" bIns="108000">
          <a:spAutoFit/>
        </a:bodyPr>
        <a:lstStyle>
          <a:defPPr>
            <a:defRPr lang="da-DK"/>
          </a:defPPr>
          <a:lvl1pPr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1pPr>
          <a:lvl2pPr marL="4572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2pPr>
          <a:lvl3pPr marL="9144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3pPr>
          <a:lvl4pPr marL="13716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4pPr>
          <a:lvl5pPr marL="18288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>
            <a:lnSpc>
              <a:spcPts val="400"/>
            </a:lnSpc>
            <a:buFont typeface="Wingdings" pitchFamily="2" charset="2"/>
            <a:buNone/>
            <a:defRPr/>
          </a:pPr>
          <a:r>
            <a:rPr lang="da-DK" sz="1000" b="1" u="sng">
              <a:latin typeface="+mn-lt"/>
            </a:rPr>
            <a:t>Ellund</a:t>
          </a:r>
          <a:r>
            <a:rPr lang="da-DK" sz="1000" b="1" u="sng" baseline="30000">
              <a:latin typeface="+mn-lt"/>
            </a:rPr>
            <a:t>1</a:t>
          </a:r>
        </a:p>
        <a:p>
          <a:pPr>
            <a:lnSpc>
              <a:spcPts val="1700"/>
            </a:lnSpc>
            <a:buFont typeface="Wingdings" pitchFamily="2" charset="2"/>
            <a:buNone/>
            <a:defRPr/>
          </a:pPr>
          <a:r>
            <a:rPr lang="da-DK" sz="1000">
              <a:solidFill>
                <a:srgbClr val="00B050"/>
              </a:solidFill>
              <a:latin typeface="+mn-lt"/>
            </a:rPr>
            <a:t>Entry</a:t>
          </a:r>
          <a:r>
            <a:rPr lang="da-DK" sz="1000">
              <a:latin typeface="+mn-lt"/>
            </a:rPr>
            <a:t> -</a:t>
          </a:r>
          <a:r>
            <a:rPr lang="da-DK" sz="1000" baseline="0">
              <a:latin typeface="+mn-lt"/>
            </a:rPr>
            <a:t> </a:t>
          </a:r>
          <a:r>
            <a:rPr lang="da-DK" sz="1000" kern="1200">
              <a:solidFill>
                <a:schemeClr val="tx1"/>
              </a:solidFill>
              <a:latin typeface="+mn-lt"/>
              <a:ea typeface="+mn-ea"/>
              <a:cs typeface="+mn-cs"/>
            </a:rPr>
            <a:t>Firm:            7.700 MWh/h</a:t>
          </a:r>
        </a:p>
        <a:p>
          <a:pPr>
            <a:lnSpc>
              <a:spcPts val="1900"/>
            </a:lnSpc>
            <a:buFont typeface="Wingdings" pitchFamily="2" charset="2"/>
            <a:buNone/>
            <a:defRPr/>
          </a:pPr>
          <a:r>
            <a:rPr lang="da-DK" sz="1000" kern="1200">
              <a:solidFill>
                <a:srgbClr val="FF0000"/>
              </a:solidFill>
              <a:latin typeface="+mn-lt"/>
              <a:ea typeface="+mn-ea"/>
              <a:cs typeface="+mn-cs"/>
            </a:rPr>
            <a:t>Exit</a:t>
          </a:r>
          <a:r>
            <a:rPr lang="da-DK" sz="1000" kern="1200" baseline="0">
              <a:solidFill>
                <a:srgbClr val="FF0000"/>
              </a:solidFill>
              <a:latin typeface="+mn-lt"/>
              <a:ea typeface="+mn-ea"/>
              <a:cs typeface="+mn-cs"/>
            </a:rPr>
            <a:t> </a:t>
          </a:r>
          <a:r>
            <a:rPr lang="da-DK" sz="1000" kern="1200" baseline="0">
              <a:solidFill>
                <a:schemeClr val="tx1"/>
              </a:solidFill>
              <a:latin typeface="+mn-lt"/>
              <a:ea typeface="+mn-ea"/>
              <a:cs typeface="+mn-cs"/>
            </a:rPr>
            <a:t>- </a:t>
          </a:r>
          <a:r>
            <a:rPr lang="da-DK" sz="1000" kern="1200">
              <a:solidFill>
                <a:schemeClr val="tx1"/>
              </a:solidFill>
              <a:latin typeface="+mn-lt"/>
              <a:ea typeface="+mn-ea"/>
              <a:cs typeface="+mn-cs"/>
            </a:rPr>
            <a:t>Firm:              10.000 MWh/h</a:t>
          </a:r>
        </a:p>
      </xdr:txBody>
    </xdr:sp>
    <xdr:clientData/>
  </xdr:twoCellAnchor>
  <xdr:twoCellAnchor>
    <xdr:from>
      <xdr:col>17</xdr:col>
      <xdr:colOff>314326</xdr:colOff>
      <xdr:row>21</xdr:row>
      <xdr:rowOff>53975</xdr:rowOff>
    </xdr:from>
    <xdr:to>
      <xdr:col>20</xdr:col>
      <xdr:colOff>523876</xdr:colOff>
      <xdr:row>26</xdr:row>
      <xdr:rowOff>76474</xdr:rowOff>
    </xdr:to>
    <xdr:sp macro="" textlink="">
      <xdr:nvSpPr>
        <xdr:cNvPr id="42" name="Tekstboks 67"/>
        <xdr:cNvSpPr txBox="1"/>
      </xdr:nvSpPr>
      <xdr:spPr>
        <a:xfrm>
          <a:off x="12639676" y="3454400"/>
          <a:ext cx="2257425" cy="83212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lIns="108000" tIns="108000" rIns="108000" bIns="108000">
          <a:spAutoFit/>
        </a:bodyPr>
        <a:lstStyle>
          <a:defPPr>
            <a:defRPr lang="da-DK"/>
          </a:defPPr>
          <a:lvl1pPr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1pPr>
          <a:lvl2pPr marL="4572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2pPr>
          <a:lvl3pPr marL="9144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3pPr>
          <a:lvl4pPr marL="13716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4pPr>
          <a:lvl5pPr marL="18288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>
            <a:lnSpc>
              <a:spcPts val="500"/>
            </a:lnSpc>
            <a:buFont typeface="Wingdings" pitchFamily="2" charset="2"/>
            <a:buNone/>
            <a:defRPr/>
          </a:pPr>
          <a:r>
            <a:rPr lang="da-DK" sz="1000" b="1" u="sng" kern="1200">
              <a:solidFill>
                <a:schemeClr val="tx1"/>
              </a:solidFill>
              <a:latin typeface="+mn-lt"/>
              <a:ea typeface="+mn-ea"/>
              <a:cs typeface="+mn-cs"/>
            </a:rPr>
            <a:t>Nybro</a:t>
          </a:r>
        </a:p>
        <a:p>
          <a:pPr>
            <a:lnSpc>
              <a:spcPts val="2200"/>
            </a:lnSpc>
            <a:buFont typeface="Wingdings" pitchFamily="2" charset="2"/>
            <a:buNone/>
            <a:defRPr/>
          </a:pPr>
          <a:r>
            <a:rPr lang="da-DK" sz="1000">
              <a:solidFill>
                <a:srgbClr val="00B050"/>
              </a:solidFill>
              <a:latin typeface="+mn-lt"/>
            </a:rPr>
            <a:t>Entry</a:t>
          </a:r>
          <a:r>
            <a:rPr lang="da-DK" sz="1000">
              <a:latin typeface="+mn-lt"/>
            </a:rPr>
            <a:t> - Firm:             16.500 MWh/h</a:t>
          </a:r>
        </a:p>
        <a:p>
          <a:pPr>
            <a:lnSpc>
              <a:spcPts val="1600"/>
            </a:lnSpc>
            <a:buFont typeface="Wingdings" pitchFamily="2" charset="2"/>
            <a:buNone/>
            <a:defRPr/>
          </a:pPr>
          <a:r>
            <a:rPr lang="da-DK" sz="1000">
              <a:solidFill>
                <a:srgbClr val="FF0000"/>
              </a:solidFill>
              <a:latin typeface="+mn-lt"/>
            </a:rPr>
            <a:t>Exit</a:t>
          </a:r>
          <a:r>
            <a:rPr lang="da-DK" sz="1000" kern="1200">
              <a:solidFill>
                <a:schemeClr val="tx1"/>
              </a:solidFill>
              <a:latin typeface="+mn-lt"/>
              <a:ea typeface="+mn-ea"/>
              <a:cs typeface="+mn-cs"/>
            </a:rPr>
            <a:t>:                                      0 MWh/h</a:t>
          </a:r>
        </a:p>
      </xdr:txBody>
    </xdr:sp>
    <xdr:clientData/>
  </xdr:twoCellAnchor>
  <xdr:twoCellAnchor>
    <xdr:from>
      <xdr:col>21</xdr:col>
      <xdr:colOff>244476</xdr:colOff>
      <xdr:row>19</xdr:row>
      <xdr:rowOff>90488</xdr:rowOff>
    </xdr:from>
    <xdr:to>
      <xdr:col>25</xdr:col>
      <xdr:colOff>133350</xdr:colOff>
      <xdr:row>24</xdr:row>
      <xdr:rowOff>36042</xdr:rowOff>
    </xdr:to>
    <xdr:sp macro="" textlink="">
      <xdr:nvSpPr>
        <xdr:cNvPr id="43" name="Tekstboks 71"/>
        <xdr:cNvSpPr txBox="1"/>
      </xdr:nvSpPr>
      <xdr:spPr>
        <a:xfrm>
          <a:off x="15227301" y="3167063"/>
          <a:ext cx="2327274" cy="75517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lIns="108000" tIns="108000" rIns="108000" bIns="108000">
          <a:spAutoFit/>
        </a:bodyPr>
        <a:lstStyle>
          <a:defPPr>
            <a:defRPr lang="da-DK"/>
          </a:defPPr>
          <a:lvl1pPr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1pPr>
          <a:lvl2pPr marL="4572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2pPr>
          <a:lvl3pPr marL="9144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3pPr>
          <a:lvl4pPr marL="13716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4pPr>
          <a:lvl5pPr marL="18288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>
            <a:lnSpc>
              <a:spcPts val="500"/>
            </a:lnSpc>
            <a:buFont typeface="Wingdings" pitchFamily="2" charset="2"/>
            <a:buNone/>
            <a:defRPr/>
          </a:pPr>
          <a:r>
            <a:rPr lang="da-DK" sz="1000" b="1" u="sng">
              <a:latin typeface="+mn-lt"/>
            </a:rPr>
            <a:t>Stenlille</a:t>
          </a:r>
          <a:r>
            <a:rPr lang="da-DK" sz="1000" b="1" u="sng" baseline="30000">
              <a:latin typeface="+mn-lt"/>
            </a:rPr>
            <a:t>2</a:t>
          </a:r>
        </a:p>
        <a:p>
          <a:pPr marL="0" indent="0" algn="l" rtl="0" fontAlgn="base">
            <a:lnSpc>
              <a:spcPts val="16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None/>
            <a:defRPr/>
          </a:pPr>
          <a:r>
            <a:rPr lang="da-DK" sz="1000" kern="1200">
              <a:solidFill>
                <a:srgbClr val="00B050"/>
              </a:solidFill>
              <a:latin typeface="+mn-lt"/>
              <a:ea typeface="+mn-ea"/>
              <a:cs typeface="+mn-cs"/>
            </a:rPr>
            <a:t>Entry</a:t>
          </a:r>
          <a:r>
            <a:rPr lang="da-DK" sz="1000" kern="1200" baseline="0">
              <a:solidFill>
                <a:srgbClr val="00B050"/>
              </a:solidFill>
              <a:latin typeface="+mn-lt"/>
              <a:ea typeface="+mn-ea"/>
              <a:cs typeface="+mn-cs"/>
            </a:rPr>
            <a:t> (extraction)</a:t>
          </a:r>
          <a:r>
            <a:rPr lang="da-DK" sz="1000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lang="da-DK" sz="1000" kern="12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- Firm</a:t>
          </a:r>
          <a:r>
            <a:rPr lang="da-DK" sz="1000" kern="1200">
              <a:solidFill>
                <a:schemeClr val="tx1"/>
              </a:solidFill>
              <a:latin typeface="+mn-lt"/>
              <a:ea typeface="+mn-ea"/>
              <a:cs typeface="+mn-cs"/>
            </a:rPr>
            <a:t>:  4.100 MWh/h</a:t>
          </a:r>
        </a:p>
        <a:p>
          <a:pPr>
            <a:lnSpc>
              <a:spcPts val="1600"/>
            </a:lnSpc>
            <a:buFont typeface="Wingdings" pitchFamily="2" charset="2"/>
            <a:buNone/>
            <a:defRPr/>
          </a:pPr>
          <a:r>
            <a:rPr lang="da-DK" sz="1000">
              <a:solidFill>
                <a:srgbClr val="FF0000"/>
              </a:solidFill>
              <a:latin typeface="+mn-lt"/>
            </a:rPr>
            <a:t>Exit (injection) </a:t>
          </a:r>
          <a:r>
            <a:rPr lang="da-DK" sz="1000">
              <a:solidFill>
                <a:sysClr val="windowText" lastClr="000000"/>
              </a:solidFill>
              <a:latin typeface="+mn-lt"/>
            </a:rPr>
            <a:t>- </a:t>
          </a:r>
          <a:r>
            <a:rPr lang="da-DK" sz="1000" kern="1200">
              <a:solidFill>
                <a:schemeClr val="tx1"/>
              </a:solidFill>
              <a:latin typeface="+mn-lt"/>
              <a:ea typeface="+mn-ea"/>
              <a:cs typeface="+mn-cs"/>
            </a:rPr>
            <a:t>Firm :      2.390 MWh/h</a:t>
          </a:r>
        </a:p>
      </xdr:txBody>
    </xdr:sp>
    <xdr:clientData/>
  </xdr:twoCellAnchor>
  <xdr:twoCellAnchor>
    <xdr:from>
      <xdr:col>23</xdr:col>
      <xdr:colOff>285750</xdr:colOff>
      <xdr:row>9</xdr:row>
      <xdr:rowOff>98425</xdr:rowOff>
    </xdr:from>
    <xdr:to>
      <xdr:col>26</xdr:col>
      <xdr:colOff>161925</xdr:colOff>
      <xdr:row>13</xdr:row>
      <xdr:rowOff>20726</xdr:rowOff>
    </xdr:to>
    <xdr:sp macro="" textlink="">
      <xdr:nvSpPr>
        <xdr:cNvPr id="44" name="Tekstboks 50"/>
        <xdr:cNvSpPr txBox="1"/>
      </xdr:nvSpPr>
      <xdr:spPr>
        <a:xfrm>
          <a:off x="16487775" y="1555750"/>
          <a:ext cx="1704975" cy="570001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lIns="108000" tIns="108000" rIns="108000" bIns="108000">
          <a:spAutoFit/>
        </a:bodyPr>
        <a:lstStyle>
          <a:defPPr>
            <a:defRPr lang="da-DK"/>
          </a:defPPr>
          <a:lvl1pPr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1pPr>
          <a:lvl2pPr marL="4572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2pPr>
          <a:lvl3pPr marL="9144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3pPr>
          <a:lvl4pPr marL="13716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4pPr>
          <a:lvl5pPr marL="18288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>
            <a:lnSpc>
              <a:spcPts val="400"/>
            </a:lnSpc>
            <a:buFont typeface="Wingdings" pitchFamily="2" charset="2"/>
            <a:buNone/>
            <a:defRPr/>
          </a:pPr>
          <a:r>
            <a:rPr lang="da-DK" sz="1000" b="1" u="sng">
              <a:solidFill>
                <a:sysClr val="windowText" lastClr="000000"/>
              </a:solidFill>
              <a:latin typeface="+mn-lt"/>
            </a:rPr>
            <a:t>Exit </a:t>
          </a:r>
          <a:r>
            <a:rPr lang="da-DK" sz="1000" b="1" u="sng">
              <a:latin typeface="+mn-lt"/>
            </a:rPr>
            <a:t>DK</a:t>
          </a:r>
        </a:p>
        <a:p>
          <a:pPr>
            <a:lnSpc>
              <a:spcPts val="2100"/>
            </a:lnSpc>
            <a:buFont typeface="Wingdings" pitchFamily="2" charset="2"/>
            <a:buNone/>
            <a:defRPr/>
          </a:pPr>
          <a:r>
            <a:rPr lang="da-DK" sz="1000">
              <a:solidFill>
                <a:srgbClr val="FF0000"/>
              </a:solidFill>
              <a:latin typeface="+mn-lt"/>
            </a:rPr>
            <a:t>Exit </a:t>
          </a:r>
          <a:r>
            <a:rPr lang="da-DK" sz="1000">
              <a:solidFill>
                <a:sysClr val="windowText" lastClr="000000"/>
              </a:solidFill>
              <a:latin typeface="+mn-lt"/>
            </a:rPr>
            <a:t>- </a:t>
          </a:r>
          <a:r>
            <a:rPr lang="da-DK" sz="1000">
              <a:latin typeface="+mn-lt"/>
            </a:rPr>
            <a:t>Firm:  12.984 MWh/h</a:t>
          </a:r>
          <a:endParaRPr lang="da-DK" sz="1000" kern="1200">
            <a:solidFill>
              <a:srgbClr val="FF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22</xdr:col>
      <xdr:colOff>342901</xdr:colOff>
      <xdr:row>31</xdr:row>
      <xdr:rowOff>28575</xdr:rowOff>
    </xdr:from>
    <xdr:to>
      <xdr:col>29</xdr:col>
      <xdr:colOff>161925</xdr:colOff>
      <xdr:row>42</xdr:row>
      <xdr:rowOff>28575</xdr:rowOff>
    </xdr:to>
    <xdr:sp macro="" textlink="">
      <xdr:nvSpPr>
        <xdr:cNvPr id="45" name="Tekstboks 61"/>
        <xdr:cNvSpPr txBox="1"/>
      </xdr:nvSpPr>
      <xdr:spPr>
        <a:xfrm>
          <a:off x="15935326" y="5048250"/>
          <a:ext cx="4086224" cy="178117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lIns="108000" tIns="108000" rIns="108000" bIns="108000">
          <a:noAutofit/>
        </a:bodyPr>
        <a:lstStyle>
          <a:defPPr>
            <a:defRPr lang="da-DK"/>
          </a:defPPr>
          <a:lvl1pPr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1pPr>
          <a:lvl2pPr marL="4572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2pPr>
          <a:lvl3pPr marL="9144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3pPr>
          <a:lvl4pPr marL="13716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4pPr>
          <a:lvl5pPr marL="18288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>
            <a:lnSpc>
              <a:spcPct val="100000"/>
            </a:lnSpc>
            <a:buFont typeface="Wingdings" pitchFamily="2" charset="2"/>
            <a:buNone/>
            <a:defRPr/>
          </a:pPr>
          <a:r>
            <a:rPr lang="da-DK" sz="1000" b="1" u="sng" baseline="0">
              <a:latin typeface="+mn-lt"/>
            </a:rPr>
            <a:t>Notes</a:t>
          </a:r>
        </a:p>
        <a:p>
          <a:pPr marL="0" marR="0" indent="0" algn="l" defTabSz="914400" rtl="0" eaLnBrk="1" fontAlgn="base" latinLnBrk="0" hangingPunct="1">
            <a:lnSpc>
              <a:spcPct val="100000"/>
            </a:lnSpc>
            <a:spcBef>
              <a:spcPct val="20000"/>
            </a:spcBef>
            <a:spcAft>
              <a:spcPct val="0"/>
            </a:spcAft>
            <a:buClrTx/>
            <a:buSzPct val="90000"/>
            <a:buFont typeface="Wingdings" pitchFamily="2" charset="2"/>
            <a:buNone/>
            <a:tabLst/>
            <a:defRPr/>
          </a:pPr>
          <a:r>
            <a:rPr lang="da-DK" sz="1000" b="0" baseline="0">
              <a:latin typeface="+mn-lt"/>
            </a:rPr>
            <a:t>1: From Germany it is not possible to deliver more than app. </a:t>
          </a:r>
          <a:r>
            <a:rPr lang="da-DK" sz="1000" b="0" kern="1200" baseline="0">
              <a:solidFill>
                <a:schemeClr val="tx1"/>
              </a:solidFill>
              <a:latin typeface="+mn-lt"/>
              <a:ea typeface="+mn-ea"/>
              <a:cs typeface="+mn-cs"/>
            </a:rPr>
            <a:t>4.950 MWh/h interruptible capacity. </a:t>
          </a:r>
        </a:p>
        <a:p>
          <a:pPr>
            <a:lnSpc>
              <a:spcPct val="100000"/>
            </a:lnSpc>
            <a:buFont typeface="Wingdings" pitchFamily="2" charset="2"/>
            <a:buNone/>
            <a:defRPr/>
          </a:pPr>
          <a:r>
            <a:rPr lang="da-DK" sz="1000" b="0" kern="1200" baseline="0">
              <a:solidFill>
                <a:schemeClr val="tx1"/>
              </a:solidFill>
              <a:latin typeface="+mn-lt"/>
              <a:ea typeface="+mn-ea"/>
              <a:cs typeface="+mn-cs"/>
            </a:rPr>
            <a:t>2: Information from Energinet.dk Gaslager. It is not possible for </a:t>
          </a:r>
          <a:r>
            <a:rPr lang="da-DK" sz="1000" b="0" baseline="0">
              <a:latin typeface="+mn-lt"/>
            </a:rPr>
            <a:t>Energinet.dk to support the listed injection capacity under all operational conditions.</a:t>
          </a:r>
        </a:p>
        <a:p>
          <a:pPr>
            <a:lnSpc>
              <a:spcPct val="100000"/>
            </a:lnSpc>
            <a:buFont typeface="Wingdings" pitchFamily="2" charset="2"/>
            <a:buNone/>
            <a:defRPr/>
          </a:pPr>
          <a:r>
            <a:rPr lang="da-DK" sz="1000" b="0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Generally: Upper calorific value is used for natural gas. At the moment the  calorific value is 12,1 kWh/m</a:t>
          </a:r>
          <a:r>
            <a:rPr lang="da-DK" sz="1000" b="0" kern="1200" baseline="30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3</a:t>
          </a:r>
          <a:r>
            <a:rPr lang="da-DK" sz="1000" b="0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. For natural gas from Germany the value is </a:t>
          </a:r>
          <a:r>
            <a:rPr lang="da-DK" sz="1000" b="0" baseline="0">
              <a:solidFill>
                <a:sysClr val="windowText" lastClr="000000"/>
              </a:solidFill>
              <a:latin typeface="+mn-lt"/>
            </a:rPr>
            <a:t> 11,0 </a:t>
          </a:r>
          <a:r>
            <a:rPr lang="da-DK" sz="1000" b="0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kWh/m3</a:t>
          </a:r>
          <a:r>
            <a:rPr lang="da-DK" sz="1000" b="0" baseline="0">
              <a:latin typeface="+mn-lt"/>
            </a:rPr>
            <a:t>. </a:t>
          </a:r>
          <a:endParaRPr lang="da-DK" sz="1000" b="0" baseline="30000">
            <a:latin typeface="+mn-lt"/>
          </a:endParaRPr>
        </a:p>
      </xdr:txBody>
    </xdr:sp>
    <xdr:clientData/>
  </xdr:twoCellAnchor>
  <xdr:twoCellAnchor>
    <xdr:from>
      <xdr:col>1</xdr:col>
      <xdr:colOff>352424</xdr:colOff>
      <xdr:row>33</xdr:row>
      <xdr:rowOff>66675</xdr:rowOff>
    </xdr:from>
    <xdr:to>
      <xdr:col>4</xdr:col>
      <xdr:colOff>609599</xdr:colOff>
      <xdr:row>38</xdr:row>
      <xdr:rowOff>50702</xdr:rowOff>
    </xdr:to>
    <xdr:sp macro="" textlink="">
      <xdr:nvSpPr>
        <xdr:cNvPr id="46" name="Tekstboks 65"/>
        <xdr:cNvSpPr txBox="1"/>
      </xdr:nvSpPr>
      <xdr:spPr>
        <a:xfrm>
          <a:off x="962024" y="5410200"/>
          <a:ext cx="2085975" cy="793652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txBody>
        <a:bodyPr wrap="square" lIns="108000" tIns="108000" rIns="108000" bIns="108000">
          <a:spAutoFit/>
        </a:bodyPr>
        <a:lstStyle>
          <a:defPPr>
            <a:defRPr lang="da-DK"/>
          </a:defPPr>
          <a:lvl1pPr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1pPr>
          <a:lvl2pPr marL="4572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2pPr>
          <a:lvl3pPr marL="9144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3pPr>
          <a:lvl4pPr marL="13716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4pPr>
          <a:lvl5pPr marL="1828800" algn="l" rtl="0" fontAlgn="base">
            <a:lnSpc>
              <a:spcPct val="120000"/>
            </a:lnSpc>
            <a:spcBef>
              <a:spcPct val="20000"/>
            </a:spcBef>
            <a:spcAft>
              <a:spcPct val="0"/>
            </a:spcAft>
            <a:buSzPct val="90000"/>
            <a:buFont typeface="Wingdings" pitchFamily="2" charset="2"/>
            <a:buChar char="§"/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000" kern="1200">
              <a:solidFill>
                <a:schemeClr val="tx1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>
            <a:lnSpc>
              <a:spcPts val="400"/>
            </a:lnSpc>
            <a:buFont typeface="Wingdings" pitchFamily="2" charset="2"/>
            <a:buNone/>
            <a:defRPr/>
          </a:pPr>
          <a:r>
            <a:rPr lang="da-DK" sz="1000" b="1" u="sng">
              <a:latin typeface="+mn-lt"/>
            </a:rPr>
            <a:t>Ellund</a:t>
          </a:r>
          <a:r>
            <a:rPr lang="da-DK" sz="1000" b="1" u="sng" baseline="30000">
              <a:latin typeface="+mn-lt"/>
            </a:rPr>
            <a:t>1</a:t>
          </a:r>
        </a:p>
        <a:p>
          <a:pPr>
            <a:lnSpc>
              <a:spcPts val="1700"/>
            </a:lnSpc>
            <a:buFont typeface="Wingdings" pitchFamily="2" charset="2"/>
            <a:buNone/>
            <a:defRPr/>
          </a:pPr>
          <a:r>
            <a:rPr lang="da-DK" sz="1000">
              <a:solidFill>
                <a:srgbClr val="00B050"/>
              </a:solidFill>
              <a:latin typeface="+mn-lt"/>
            </a:rPr>
            <a:t>Entry</a:t>
          </a:r>
          <a:r>
            <a:rPr lang="da-DK" sz="1000">
              <a:latin typeface="+mn-lt"/>
            </a:rPr>
            <a:t> -</a:t>
          </a:r>
          <a:r>
            <a:rPr lang="da-DK" sz="1000" baseline="0">
              <a:latin typeface="+mn-lt"/>
            </a:rPr>
            <a:t> </a:t>
          </a:r>
          <a:r>
            <a:rPr lang="da-DK" sz="1000" kern="1200">
              <a:solidFill>
                <a:schemeClr val="tx1"/>
              </a:solidFill>
              <a:latin typeface="+mn-lt"/>
              <a:ea typeface="+mn-ea"/>
              <a:cs typeface="+mn-cs"/>
            </a:rPr>
            <a:t>Uafbrydelig:  7.700 MWh/h</a:t>
          </a:r>
        </a:p>
        <a:p>
          <a:pPr>
            <a:lnSpc>
              <a:spcPts val="1900"/>
            </a:lnSpc>
            <a:buFont typeface="Wingdings" pitchFamily="2" charset="2"/>
            <a:buNone/>
            <a:defRPr/>
          </a:pPr>
          <a:r>
            <a:rPr lang="da-DK" sz="1000" kern="1200">
              <a:solidFill>
                <a:srgbClr val="FF0000"/>
              </a:solidFill>
              <a:latin typeface="+mn-lt"/>
              <a:ea typeface="+mn-ea"/>
              <a:cs typeface="+mn-cs"/>
            </a:rPr>
            <a:t>Exit</a:t>
          </a:r>
          <a:r>
            <a:rPr lang="da-DK" sz="1000" kern="1200" baseline="0">
              <a:solidFill>
                <a:srgbClr val="FF0000"/>
              </a:solidFill>
              <a:latin typeface="+mn-lt"/>
              <a:ea typeface="+mn-ea"/>
              <a:cs typeface="+mn-cs"/>
            </a:rPr>
            <a:t> </a:t>
          </a:r>
          <a:r>
            <a:rPr lang="da-DK" sz="1000" kern="1200" baseline="0">
              <a:solidFill>
                <a:schemeClr val="tx1"/>
              </a:solidFill>
              <a:latin typeface="+mn-lt"/>
              <a:ea typeface="+mn-ea"/>
              <a:cs typeface="+mn-cs"/>
            </a:rPr>
            <a:t>- </a:t>
          </a:r>
          <a:r>
            <a:rPr lang="da-DK" sz="1000" kern="1200">
              <a:solidFill>
                <a:schemeClr val="tx1"/>
              </a:solidFill>
              <a:latin typeface="+mn-lt"/>
              <a:ea typeface="+mn-ea"/>
              <a:cs typeface="+mn-cs"/>
            </a:rPr>
            <a:t>Uafbrydelig:    10.000 MWh/h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17</xdr:row>
      <xdr:rowOff>23811</xdr:rowOff>
    </xdr:from>
    <xdr:to>
      <xdr:col>7</xdr:col>
      <xdr:colOff>600074</xdr:colOff>
      <xdr:row>34</xdr:row>
      <xdr:rowOff>152399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228</xdr:row>
      <xdr:rowOff>28574</xdr:rowOff>
    </xdr:from>
    <xdr:to>
      <xdr:col>15</xdr:col>
      <xdr:colOff>390525</xdr:colOff>
      <xdr:row>261</xdr:row>
      <xdr:rowOff>95250</xdr:rowOff>
    </xdr:to>
    <xdr:graphicFrame macro="">
      <xdr:nvGraphicFramePr>
        <xdr:cNvPr id="2" name="Pladsholder til indhold 6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277</xdr:row>
      <xdr:rowOff>152400</xdr:rowOff>
    </xdr:from>
    <xdr:to>
      <xdr:col>11</xdr:col>
      <xdr:colOff>190500</xdr:colOff>
      <xdr:row>303</xdr:row>
      <xdr:rowOff>150813</xdr:rowOff>
    </xdr:to>
    <xdr:graphicFrame macro="">
      <xdr:nvGraphicFramePr>
        <xdr:cNvPr id="3" name="Pladsholder til indhold 6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228599</xdr:colOff>
      <xdr:row>277</xdr:row>
      <xdr:rowOff>152399</xdr:rowOff>
    </xdr:from>
    <xdr:to>
      <xdr:col>20</xdr:col>
      <xdr:colOff>571499</xdr:colOff>
      <xdr:row>304</xdr:row>
      <xdr:rowOff>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28575</xdr:colOff>
      <xdr:row>277</xdr:row>
      <xdr:rowOff>152400</xdr:rowOff>
    </xdr:from>
    <xdr:to>
      <xdr:col>30</xdr:col>
      <xdr:colOff>571500</xdr:colOff>
      <xdr:row>303</xdr:row>
      <xdr:rowOff>152400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30</xdr:col>
      <xdr:colOff>9524</xdr:colOff>
      <xdr:row>228</xdr:row>
      <xdr:rowOff>9524</xdr:rowOff>
    </xdr:from>
    <xdr:to>
      <xdr:col>43</xdr:col>
      <xdr:colOff>571500</xdr:colOff>
      <xdr:row>253</xdr:row>
      <xdr:rowOff>104774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228</xdr:row>
      <xdr:rowOff>0</xdr:rowOff>
    </xdr:from>
    <xdr:to>
      <xdr:col>29</xdr:col>
      <xdr:colOff>352425</xdr:colOff>
      <xdr:row>261</xdr:row>
      <xdr:rowOff>95250</xdr:rowOff>
    </xdr:to>
    <xdr:graphicFrame macro="">
      <xdr:nvGraphicFramePr>
        <xdr:cNvPr id="8" name="Pladsholder til indhold 6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17</xdr:row>
      <xdr:rowOff>9526</xdr:rowOff>
    </xdr:from>
    <xdr:to>
      <xdr:col>12</xdr:col>
      <xdr:colOff>600075</xdr:colOff>
      <xdr:row>36</xdr:row>
      <xdr:rowOff>152401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19049</xdr:colOff>
      <xdr:row>33</xdr:row>
      <xdr:rowOff>28575</xdr:rowOff>
    </xdr:from>
    <xdr:to>
      <xdr:col>22</xdr:col>
      <xdr:colOff>561974</xdr:colOff>
      <xdr:row>59</xdr:row>
      <xdr:rowOff>104775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9524</xdr:colOff>
      <xdr:row>5</xdr:row>
      <xdr:rowOff>23811</xdr:rowOff>
    </xdr:from>
    <xdr:to>
      <xdr:col>22</xdr:col>
      <xdr:colOff>590550</xdr:colOff>
      <xdr:row>30</xdr:row>
      <xdr:rowOff>161925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37</xdr:row>
      <xdr:rowOff>9524</xdr:rowOff>
    </xdr:from>
    <xdr:to>
      <xdr:col>13</xdr:col>
      <xdr:colOff>152400</xdr:colOff>
      <xdr:row>58</xdr:row>
      <xdr:rowOff>142874</xdr:rowOff>
    </xdr:to>
    <xdr:graphicFrame macro="">
      <xdr:nvGraphicFramePr>
        <xdr:cNvPr id="2131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190500</xdr:colOff>
      <xdr:row>37</xdr:row>
      <xdr:rowOff>0</xdr:rowOff>
    </xdr:from>
    <xdr:to>
      <xdr:col>24</xdr:col>
      <xdr:colOff>495300</xdr:colOff>
      <xdr:row>58</xdr:row>
      <xdr:rowOff>142875</xdr:rowOff>
    </xdr:to>
    <xdr:graphicFrame macro="">
      <xdr:nvGraphicFramePr>
        <xdr:cNvPr id="13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133349</xdr:colOff>
      <xdr:row>37</xdr:row>
      <xdr:rowOff>23812</xdr:rowOff>
    </xdr:from>
    <xdr:to>
      <xdr:col>36</xdr:col>
      <xdr:colOff>209549</xdr:colOff>
      <xdr:row>58</xdr:row>
      <xdr:rowOff>142875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48</xdr:col>
      <xdr:colOff>685800</xdr:colOff>
      <xdr:row>37</xdr:row>
      <xdr:rowOff>23812</xdr:rowOff>
    </xdr:from>
    <xdr:to>
      <xdr:col>55</xdr:col>
      <xdr:colOff>409574</xdr:colOff>
      <xdr:row>55</xdr:row>
      <xdr:rowOff>38100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55</xdr:col>
      <xdr:colOff>485774</xdr:colOff>
      <xdr:row>37</xdr:row>
      <xdr:rowOff>9524</xdr:rowOff>
    </xdr:from>
    <xdr:to>
      <xdr:col>63</xdr:col>
      <xdr:colOff>581024</xdr:colOff>
      <xdr:row>55</xdr:row>
      <xdr:rowOff>38099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37</xdr:row>
      <xdr:rowOff>14286</xdr:rowOff>
    </xdr:from>
    <xdr:to>
      <xdr:col>9</xdr:col>
      <xdr:colOff>676275</xdr:colOff>
      <xdr:row>57</xdr:row>
      <xdr:rowOff>123825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</xdr:colOff>
      <xdr:row>13</xdr:row>
      <xdr:rowOff>14287</xdr:rowOff>
    </xdr:from>
    <xdr:to>
      <xdr:col>14</xdr:col>
      <xdr:colOff>571499</xdr:colOff>
      <xdr:row>32</xdr:row>
      <xdr:rowOff>152400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14</xdr:row>
      <xdr:rowOff>19050</xdr:rowOff>
    </xdr:from>
    <xdr:to>
      <xdr:col>19</xdr:col>
      <xdr:colOff>933449</xdr:colOff>
      <xdr:row>32</xdr:row>
      <xdr:rowOff>133350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73</xdr:row>
      <xdr:rowOff>83237</xdr:rowOff>
    </xdr:from>
    <xdr:to>
      <xdr:col>6</xdr:col>
      <xdr:colOff>446433</xdr:colOff>
      <xdr:row>92</xdr:row>
      <xdr:rowOff>84069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85310</xdr:colOff>
      <xdr:row>73</xdr:row>
      <xdr:rowOff>91522</xdr:rowOff>
    </xdr:from>
    <xdr:to>
      <xdr:col>17</xdr:col>
      <xdr:colOff>16150</xdr:colOff>
      <xdr:row>92</xdr:row>
      <xdr:rowOff>92351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149501</xdr:colOff>
      <xdr:row>73</xdr:row>
      <xdr:rowOff>109329</xdr:rowOff>
    </xdr:from>
    <xdr:to>
      <xdr:col>27</xdr:col>
      <xdr:colOff>61705</xdr:colOff>
      <xdr:row>92</xdr:row>
      <xdr:rowOff>118440</xdr:rowOff>
    </xdr:to>
    <xdr:graphicFrame macro="">
      <xdr:nvGraphicFramePr>
        <xdr:cNvPr id="8" name="Diagra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35</xdr:row>
      <xdr:rowOff>23811</xdr:rowOff>
    </xdr:from>
    <xdr:to>
      <xdr:col>7</xdr:col>
      <xdr:colOff>447675</xdr:colOff>
      <xdr:row>53</xdr:row>
      <xdr:rowOff>142874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19049</xdr:colOff>
      <xdr:row>35</xdr:row>
      <xdr:rowOff>23811</xdr:rowOff>
    </xdr:from>
    <xdr:to>
      <xdr:col>17</xdr:col>
      <xdr:colOff>457199</xdr:colOff>
      <xdr:row>53</xdr:row>
      <xdr:rowOff>142874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ln w="12700"/>
      </a:spPr>
      <a:bodyPr vertOverflow="clip" horzOverflow="clip" wrap="square" rtlCol="0" anchor="t">
        <a:noAutofit/>
      </a:bodyPr>
      <a:lstStyle>
        <a:defPPr>
          <a:defRPr sz="1100" b="1"/>
        </a:defPPr>
      </a:lstStyle>
      <a:style>
        <a:lnRef idx="2">
          <a:schemeClr val="dk1"/>
        </a:lnRef>
        <a:fillRef idx="1001">
          <a:schemeClr val="lt2"/>
        </a:fillRef>
        <a:effectRef idx="0">
          <a:schemeClr val="dk1"/>
        </a:effectRef>
        <a:fontRef idx="minor">
          <a:schemeClr val="dk1"/>
        </a:fontRef>
      </a:style>
    </a:txDef>
  </a:objectDefaults>
  <a:extraClrSchemeLst/>
</a:theme>
</file>

<file path=xl/theme/themeOverride1.xml><?xml version="1.0" encoding="utf-8"?>
<a:themeOverride xmlns:a="http://schemas.openxmlformats.org/drawingml/2006/main">
  <a:clrScheme name="Energinet PowerPoint">
    <a:dk1>
      <a:sysClr val="windowText" lastClr="000000"/>
    </a:dk1>
    <a:lt1>
      <a:sysClr val="window" lastClr="FFFFFF"/>
    </a:lt1>
    <a:dk2>
      <a:srgbClr val="000000"/>
    </a:dk2>
    <a:lt2>
      <a:srgbClr val="2E5761"/>
    </a:lt2>
    <a:accent1>
      <a:srgbClr val="005E82"/>
    </a:accent1>
    <a:accent2>
      <a:srgbClr val="669EB3"/>
    </a:accent2>
    <a:accent3>
      <a:srgbClr val="81B442"/>
    </a:accent3>
    <a:accent4>
      <a:srgbClr val="83736A"/>
    </a:accent4>
    <a:accent5>
      <a:srgbClr val="D5CBC3"/>
    </a:accent5>
    <a:accent6>
      <a:srgbClr val="E6B72B"/>
    </a:accent6>
    <a:hlink>
      <a:srgbClr val="0000FF"/>
    </a:hlink>
    <a:folHlink>
      <a:srgbClr val="800080"/>
    </a:folHlink>
  </a:clrScheme>
  <a:fontScheme name="CO-RO">
    <a:majorFont>
      <a:latin typeface="Verdana"/>
      <a:ea typeface=""/>
      <a:cs typeface=""/>
    </a:majorFont>
    <a:minorFont>
      <a:latin typeface="Verdana"/>
      <a:ea typeface=""/>
      <a:cs typeface="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Energinet PowerPoint">
    <a:dk1>
      <a:sysClr val="windowText" lastClr="000000"/>
    </a:dk1>
    <a:lt1>
      <a:sysClr val="window" lastClr="FFFFFF"/>
    </a:lt1>
    <a:dk2>
      <a:srgbClr val="000000"/>
    </a:dk2>
    <a:lt2>
      <a:srgbClr val="2E5761"/>
    </a:lt2>
    <a:accent1>
      <a:srgbClr val="005E82"/>
    </a:accent1>
    <a:accent2>
      <a:srgbClr val="669EB3"/>
    </a:accent2>
    <a:accent3>
      <a:srgbClr val="81B442"/>
    </a:accent3>
    <a:accent4>
      <a:srgbClr val="83736A"/>
    </a:accent4>
    <a:accent5>
      <a:srgbClr val="D5CBC3"/>
    </a:accent5>
    <a:accent6>
      <a:srgbClr val="E6B72B"/>
    </a:accent6>
    <a:hlink>
      <a:srgbClr val="0000FF"/>
    </a:hlink>
    <a:folHlink>
      <a:srgbClr val="800080"/>
    </a:folHlink>
  </a:clrScheme>
  <a:fontScheme name="CO-RO">
    <a:majorFont>
      <a:latin typeface="Verdana"/>
      <a:ea typeface=""/>
      <a:cs typeface=""/>
    </a:majorFont>
    <a:minorFont>
      <a:latin typeface="Verdana"/>
      <a:ea typeface=""/>
      <a:cs typeface="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://energinet.dk/DA/El/Nyheder/Sider/Nordtysk-netarbejde-giver-oeget-begraensninger-i-kapacitet-paa-dansk-tysk-graense.aspx" TargetMode="External"/><Relationship Id="rId2" Type="http://schemas.openxmlformats.org/officeDocument/2006/relationships/hyperlink" Target="http://www.tennet.eu/de/fileadmin/downloads/Kunden/bestimmungenubertragungskapazitat20120924_fin_en.pdf" TargetMode="External"/><Relationship Id="rId1" Type="http://schemas.openxmlformats.org/officeDocument/2006/relationships/hyperlink" Target="http://www.casc.eu/media/2014-02-12%20Capacities%202015%20(2).pdf" TargetMode="External"/><Relationship Id="rId6" Type="http://schemas.openxmlformats.org/officeDocument/2006/relationships/printerSettings" Target="../printerSettings/printerSettings13.bin"/><Relationship Id="rId5" Type="http://schemas.openxmlformats.org/officeDocument/2006/relationships/hyperlink" Target="http://www.energinet.dk/SiteCollectionDocuments/Danske%20dokumenter/El/Metode%20til%20at%20h%C3%A5ndtere%20interne%20flaskehalse%20i%20Tyskland%20i%20Energinet%20dk%27s%20markedsmodeller.pdf" TargetMode="External"/><Relationship Id="rId4" Type="http://schemas.openxmlformats.org/officeDocument/2006/relationships/hyperlink" Target="http://www.energinet.dk/SiteCollectionDocuments/Danske%20dokumenter/El/Nettab%20p%C3%A5%20udlandsforbindelser%20Final%20v%203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montel.no/" TargetMode="External"/><Relationship Id="rId2" Type="http://schemas.openxmlformats.org/officeDocument/2006/relationships/hyperlink" Target="http://montel.no/" TargetMode="External"/><Relationship Id="rId1" Type="http://schemas.openxmlformats.org/officeDocument/2006/relationships/hyperlink" Target="http://montel.no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km.dk/skattetal/satser/satser-og-beloebsgraenser/svovlafgiftsloven" TargetMode="External"/><Relationship Id="rId2" Type="http://schemas.openxmlformats.org/officeDocument/2006/relationships/hyperlink" Target="http://www.skm.dk/skattetal/satser/satser-og-beloebsgraenser/kvaelstofoxiderafgiftsloven-nox" TargetMode="External"/><Relationship Id="rId1" Type="http://schemas.openxmlformats.org/officeDocument/2006/relationships/hyperlink" Target="http://montel.no/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nasdaqomx.com/commodities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2:B21"/>
  <sheetViews>
    <sheetView tabSelected="1" workbookViewId="0"/>
  </sheetViews>
  <sheetFormatPr defaultRowHeight="12.75"/>
  <cols>
    <col min="1" max="1" width="9.140625" style="26"/>
    <col min="2" max="2" width="64.5703125" style="26" customWidth="1"/>
    <col min="3" max="16384" width="9.140625" style="26"/>
  </cols>
  <sheetData>
    <row r="2" spans="1:2" ht="18">
      <c r="A2" s="841" t="s">
        <v>56</v>
      </c>
      <c r="B2" s="841"/>
    </row>
    <row r="3" spans="1:2" ht="18">
      <c r="A3" s="27"/>
      <c r="B3" s="27"/>
    </row>
    <row r="4" spans="1:2" ht="18">
      <c r="A4" s="25" t="s">
        <v>31</v>
      </c>
      <c r="B4" s="75" t="s">
        <v>58</v>
      </c>
    </row>
    <row r="5" spans="1:2" ht="18">
      <c r="A5" s="25" t="s">
        <v>32</v>
      </c>
      <c r="B5" s="75" t="s">
        <v>44</v>
      </c>
    </row>
    <row r="6" spans="1:2" ht="18">
      <c r="A6" s="25" t="s">
        <v>33</v>
      </c>
      <c r="B6" s="75" t="s">
        <v>102</v>
      </c>
    </row>
    <row r="7" spans="1:2" ht="18">
      <c r="A7" s="25" t="s">
        <v>34</v>
      </c>
      <c r="B7" s="75" t="s">
        <v>52</v>
      </c>
    </row>
    <row r="8" spans="1:2" ht="18">
      <c r="A8" s="25" t="s">
        <v>35</v>
      </c>
      <c r="B8" s="75" t="s">
        <v>30</v>
      </c>
    </row>
    <row r="9" spans="1:2" ht="18">
      <c r="A9" s="25" t="s">
        <v>36</v>
      </c>
      <c r="B9" s="75" t="s">
        <v>57</v>
      </c>
    </row>
    <row r="10" spans="1:2" ht="18">
      <c r="A10" s="25" t="s">
        <v>37</v>
      </c>
      <c r="B10" s="75" t="s">
        <v>104</v>
      </c>
    </row>
    <row r="11" spans="1:2" ht="18">
      <c r="A11" s="25" t="s">
        <v>38</v>
      </c>
      <c r="B11" s="75" t="s">
        <v>29</v>
      </c>
    </row>
    <row r="12" spans="1:2" ht="18">
      <c r="A12" s="25" t="s">
        <v>39</v>
      </c>
      <c r="B12" s="75" t="s">
        <v>330</v>
      </c>
    </row>
    <row r="13" spans="1:2" ht="18">
      <c r="A13" s="25" t="s">
        <v>40</v>
      </c>
      <c r="B13" s="75" t="s">
        <v>64</v>
      </c>
    </row>
    <row r="14" spans="1:2" ht="18">
      <c r="A14" s="25" t="s">
        <v>41</v>
      </c>
      <c r="B14" s="75" t="s">
        <v>59</v>
      </c>
    </row>
    <row r="15" spans="1:2" ht="18">
      <c r="A15" s="25" t="s">
        <v>62</v>
      </c>
      <c r="B15" s="75" t="s">
        <v>43</v>
      </c>
    </row>
    <row r="16" spans="1:2" ht="18">
      <c r="A16" s="25" t="s">
        <v>63</v>
      </c>
      <c r="B16" s="75" t="s">
        <v>42</v>
      </c>
    </row>
    <row r="17" spans="1:2" ht="18">
      <c r="A17" s="25" t="s">
        <v>65</v>
      </c>
      <c r="B17" s="75" t="s">
        <v>28</v>
      </c>
    </row>
    <row r="18" spans="1:2" ht="18">
      <c r="A18" s="55" t="s">
        <v>105</v>
      </c>
      <c r="B18" s="75" t="s">
        <v>370</v>
      </c>
    </row>
    <row r="19" spans="1:2" ht="18">
      <c r="A19" s="55" t="s">
        <v>106</v>
      </c>
      <c r="B19" s="75" t="s">
        <v>371</v>
      </c>
    </row>
    <row r="20" spans="1:2" ht="18">
      <c r="A20" s="55" t="s">
        <v>107</v>
      </c>
      <c r="B20" s="75" t="s">
        <v>108</v>
      </c>
    </row>
    <row r="21" spans="1:2" ht="18">
      <c r="A21" s="55" t="s">
        <v>485</v>
      </c>
      <c r="B21" s="75" t="s">
        <v>265</v>
      </c>
    </row>
  </sheetData>
  <mergeCells count="1">
    <mergeCell ref="A2:B2"/>
  </mergeCells>
  <phoneticPr fontId="13" type="noConversion"/>
  <hyperlinks>
    <hyperlink ref="B8" location="Elforbrug!A1" display="Det årlige elforbrug"/>
    <hyperlink ref="B9" location="Effektforbrug!A1" display="Det maksimale timeforbrug for fremskrivningsårene"/>
    <hyperlink ref="B5" location="Brændselspriser!A1" display="Brændselspriser"/>
    <hyperlink ref="B6" location="'CO2, SO2 og NOx priser'!A1" display="CO2, SO2 og NOx priser"/>
    <hyperlink ref="B7" location="Elpriser!A1" display="Elpriser for Danmark og nærmeste områder"/>
    <hyperlink ref="B10" location="'Store varmepumper'!A1" display="Store varmepumper"/>
    <hyperlink ref="B11" location="'Indiv. VP og elbiler'!A1" display="Individuelle varmepumper og elbiler"/>
    <hyperlink ref="B15" location="'Kraftværker, Øst'!A1" display="Kraftværker, Østdanmark"/>
    <hyperlink ref="B16" location="'Kraftværker, Vest'!A1" display="Kraftværker, Vestdanmark"/>
    <hyperlink ref="B17" location="Udlandsforbindelser!A1" display="Udlandsforbindelser"/>
    <hyperlink ref="B4" location="'Økonomiske nøgletal'!A1" display="Økonomiske nøgletal"/>
    <hyperlink ref="B14" location="Solceller!A1" display="Solceller"/>
    <hyperlink ref="B12" location="Elpatroner!A1" display="Elpatroner"/>
    <hyperlink ref="B13" location="Vindkapacitet!A1" display="Vindkapacitet på land og hav"/>
    <hyperlink ref="B19" location="Gasforbindelser!A1" display="Gasforbindelser"/>
    <hyperlink ref="B20" location="Fjernvarmeforbrug!A1" display="Fjernvarmeforbrug"/>
    <hyperlink ref="B18" location="'Centrale gasdata'!A1" display="Centrale gasdata"/>
    <hyperlink ref="B21" location="'Beregningsark, vind'!A1" display="Beregningsark, vind"/>
  </hyperlinks>
  <pageMargins left="0.75" right="0.75" top="1" bottom="1" header="0" footer="0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>
    <tabColor theme="5" tint="0.39997558519241921"/>
  </sheetPr>
  <dimension ref="A1:T49"/>
  <sheetViews>
    <sheetView workbookViewId="0"/>
  </sheetViews>
  <sheetFormatPr defaultRowHeight="12.75"/>
  <cols>
    <col min="2" max="2" width="9.140625" customWidth="1"/>
    <col min="3" max="4" width="10.7109375" customWidth="1"/>
    <col min="5" max="5" width="10.5703125" customWidth="1"/>
    <col min="6" max="7" width="10.7109375" customWidth="1"/>
    <col min="8" max="8" width="10.5703125" customWidth="1"/>
    <col min="9" max="10" width="10.7109375" customWidth="1"/>
    <col min="11" max="11" width="10.5703125" customWidth="1"/>
    <col min="13" max="13" width="14.28515625" customWidth="1"/>
    <col min="14" max="14" width="9.140625" customWidth="1"/>
    <col min="20" max="20" width="14.28515625" customWidth="1"/>
  </cols>
  <sheetData>
    <row r="1" spans="1:20">
      <c r="A1" s="130" t="s">
        <v>330</v>
      </c>
      <c r="G1" s="438"/>
    </row>
    <row r="2" spans="1:20">
      <c r="A2" s="132" t="s">
        <v>56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</row>
    <row r="3" spans="1:20" s="485" customFormat="1">
      <c r="B3" s="298"/>
      <c r="C3" s="298"/>
      <c r="D3" s="298"/>
      <c r="E3" s="298"/>
      <c r="F3" s="298"/>
      <c r="G3" s="298"/>
      <c r="H3" s="298"/>
      <c r="I3" s="298"/>
      <c r="J3" s="298"/>
      <c r="K3" s="298"/>
    </row>
    <row r="4" spans="1:20" s="689" customFormat="1">
      <c r="B4" s="298"/>
      <c r="C4" s="298"/>
      <c r="D4" s="298"/>
      <c r="E4" s="298"/>
      <c r="F4" s="298"/>
      <c r="G4" s="298"/>
      <c r="H4" s="298"/>
      <c r="I4" s="298"/>
      <c r="J4" s="298"/>
      <c r="K4" s="298"/>
    </row>
    <row r="5" spans="1:20" s="485" customFormat="1">
      <c r="B5" s="298"/>
      <c r="C5" s="298"/>
      <c r="D5" s="298"/>
      <c r="E5" s="298"/>
      <c r="F5" s="298"/>
      <c r="G5" s="298"/>
      <c r="H5" s="298"/>
      <c r="I5" s="298"/>
      <c r="J5" s="298"/>
      <c r="K5" s="298"/>
    </row>
    <row r="6" spans="1:20">
      <c r="B6" s="847" t="s">
        <v>0</v>
      </c>
      <c r="C6" s="876" t="s">
        <v>6</v>
      </c>
      <c r="D6" s="876"/>
      <c r="E6" s="876"/>
      <c r="F6" s="876" t="s">
        <v>7</v>
      </c>
      <c r="G6" s="876"/>
      <c r="H6" s="876"/>
      <c r="I6" s="876" t="s">
        <v>10</v>
      </c>
      <c r="J6" s="876"/>
      <c r="K6" s="876"/>
    </row>
    <row r="7" spans="1:20" ht="21">
      <c r="B7" s="879"/>
      <c r="C7" s="684" t="s">
        <v>60</v>
      </c>
      <c r="D7" s="684" t="s">
        <v>381</v>
      </c>
      <c r="E7" s="67" t="s">
        <v>26</v>
      </c>
      <c r="F7" s="693" t="s">
        <v>60</v>
      </c>
      <c r="G7" s="693" t="s">
        <v>381</v>
      </c>
      <c r="H7" s="694" t="s">
        <v>26</v>
      </c>
      <c r="I7" s="693" t="s">
        <v>60</v>
      </c>
      <c r="J7" s="693" t="s">
        <v>381</v>
      </c>
      <c r="K7" s="694" t="s">
        <v>26</v>
      </c>
    </row>
    <row r="8" spans="1:20" ht="12.75" customHeight="1">
      <c r="B8" s="848"/>
      <c r="C8" s="684" t="s">
        <v>380</v>
      </c>
      <c r="D8" s="684" t="s">
        <v>155</v>
      </c>
      <c r="E8" s="684" t="s">
        <v>342</v>
      </c>
      <c r="F8" s="684" t="s">
        <v>380</v>
      </c>
      <c r="G8" s="684" t="s">
        <v>155</v>
      </c>
      <c r="H8" s="684" t="s">
        <v>342</v>
      </c>
      <c r="I8" s="684" t="s">
        <v>380</v>
      </c>
      <c r="J8" s="684" t="s">
        <v>155</v>
      </c>
      <c r="K8" s="684" t="s">
        <v>342</v>
      </c>
      <c r="M8" s="594" t="s">
        <v>385</v>
      </c>
      <c r="N8" s="605">
        <v>2014</v>
      </c>
      <c r="O8" s="605">
        <v>2015</v>
      </c>
      <c r="P8" s="607">
        <v>2016</v>
      </c>
      <c r="Q8" s="595">
        <v>2017</v>
      </c>
      <c r="R8" s="595">
        <v>2018</v>
      </c>
      <c r="S8" s="596">
        <v>2019</v>
      </c>
      <c r="T8" s="18" t="s">
        <v>230</v>
      </c>
    </row>
    <row r="9" spans="1:20" ht="12.75" customHeight="1">
      <c r="B9" s="712">
        <v>2016</v>
      </c>
      <c r="C9" s="9">
        <f>P10</f>
        <v>134.5</v>
      </c>
      <c r="D9" s="7">
        <v>99.200305901992905</v>
      </c>
      <c r="E9" s="70">
        <f>D9/C9*1000</f>
        <v>737.54874276574651</v>
      </c>
      <c r="F9" s="9">
        <f>P9</f>
        <v>422.4</v>
      </c>
      <c r="G9" s="7">
        <v>169.541808131176</v>
      </c>
      <c r="H9" s="70">
        <f>G9/F9*1000</f>
        <v>401.37738667418557</v>
      </c>
      <c r="I9" s="9">
        <f>C9+F9</f>
        <v>556.9</v>
      </c>
      <c r="J9" s="7">
        <f>D9+G9</f>
        <v>268.74211403316889</v>
      </c>
      <c r="K9" s="70">
        <f>J9/I9*1000</f>
        <v>482.56799072215637</v>
      </c>
      <c r="M9" s="597" t="s">
        <v>7</v>
      </c>
      <c r="N9" s="603">
        <v>312.39999999999998</v>
      </c>
      <c r="O9" s="603">
        <v>392.4</v>
      </c>
      <c r="P9" s="608">
        <v>422.4</v>
      </c>
      <c r="Q9" s="53">
        <f>110+P9</f>
        <v>532.4</v>
      </c>
      <c r="R9" s="53">
        <f t="shared" ref="R9:T10" si="0">Q9</f>
        <v>532.4</v>
      </c>
      <c r="S9" s="53">
        <f t="shared" si="0"/>
        <v>532.4</v>
      </c>
      <c r="T9" s="598">
        <f t="shared" si="0"/>
        <v>532.4</v>
      </c>
    </row>
    <row r="10" spans="1:20">
      <c r="B10" s="713">
        <v>2017</v>
      </c>
      <c r="C10" s="9">
        <f>Q10</f>
        <v>134.5</v>
      </c>
      <c r="D10" s="7">
        <v>84.117250524330998</v>
      </c>
      <c r="E10" s="70">
        <f t="shared" ref="E10:E33" si="1">D10/C10*1000</f>
        <v>625.40706709539768</v>
      </c>
      <c r="F10" s="9">
        <f>Q9</f>
        <v>532.4</v>
      </c>
      <c r="G10" s="7">
        <v>684.09756213455705</v>
      </c>
      <c r="H10" s="70">
        <f t="shared" ref="H10:H33" si="2">G10/F10*1000</f>
        <v>1284.9315592309488</v>
      </c>
      <c r="I10" s="9">
        <f t="shared" ref="I10:I33" si="3">C10+F10</f>
        <v>666.9</v>
      </c>
      <c r="J10" s="7">
        <f t="shared" ref="J10:J33" si="4">D10+G10</f>
        <v>768.21481265888804</v>
      </c>
      <c r="K10" s="70">
        <f t="shared" ref="K10:K33" si="5">J10/I10*1000</f>
        <v>1151.9190473217695</v>
      </c>
      <c r="M10" s="599" t="s">
        <v>6</v>
      </c>
      <c r="N10" s="604">
        <v>134.5</v>
      </c>
      <c r="O10" s="604">
        <v>134.5</v>
      </c>
      <c r="P10" s="609">
        <v>134.5</v>
      </c>
      <c r="Q10" s="134">
        <f>P10</f>
        <v>134.5</v>
      </c>
      <c r="R10" s="134">
        <f t="shared" si="0"/>
        <v>134.5</v>
      </c>
      <c r="S10" s="134">
        <f t="shared" si="0"/>
        <v>134.5</v>
      </c>
      <c r="T10" s="600">
        <f t="shared" si="0"/>
        <v>134.5</v>
      </c>
    </row>
    <row r="11" spans="1:20">
      <c r="B11" s="713">
        <v>2018</v>
      </c>
      <c r="C11" s="9">
        <f>R10</f>
        <v>134.5</v>
      </c>
      <c r="D11" s="7">
        <v>263.31407726314796</v>
      </c>
      <c r="E11" s="70">
        <f t="shared" si="1"/>
        <v>1957.7254815103938</v>
      </c>
      <c r="F11" s="9">
        <f>R9</f>
        <v>532.4</v>
      </c>
      <c r="G11" s="7">
        <v>675.90675254546704</v>
      </c>
      <c r="H11" s="70">
        <f t="shared" si="2"/>
        <v>1269.5468680418239</v>
      </c>
      <c r="I11" s="9">
        <f t="shared" si="3"/>
        <v>666.9</v>
      </c>
      <c r="J11" s="7">
        <f t="shared" si="4"/>
        <v>939.22082980861501</v>
      </c>
      <c r="K11" s="70">
        <f t="shared" si="5"/>
        <v>1408.3383262987179</v>
      </c>
      <c r="L11" s="4"/>
      <c r="M11" s="302" t="s">
        <v>9</v>
      </c>
      <c r="N11" s="606">
        <f>N9+N10</f>
        <v>446.9</v>
      </c>
      <c r="O11" s="606">
        <f>O9+O10</f>
        <v>526.9</v>
      </c>
      <c r="P11" s="610">
        <f>P9+P10</f>
        <v>556.9</v>
      </c>
      <c r="Q11" s="601">
        <f>Q9+Q10</f>
        <v>666.9</v>
      </c>
      <c r="R11" s="601">
        <f t="shared" ref="R11:T11" si="6">R9+R10</f>
        <v>666.9</v>
      </c>
      <c r="S11" s="601">
        <f t="shared" si="6"/>
        <v>666.9</v>
      </c>
      <c r="T11" s="602">
        <f t="shared" si="6"/>
        <v>666.9</v>
      </c>
    </row>
    <row r="12" spans="1:20">
      <c r="B12" s="713">
        <v>2019</v>
      </c>
      <c r="C12" s="9">
        <f>S10</f>
        <v>134.5</v>
      </c>
      <c r="D12" s="7">
        <v>259.39855046123603</v>
      </c>
      <c r="E12" s="70">
        <f t="shared" si="1"/>
        <v>1928.6137580761042</v>
      </c>
      <c r="F12" s="9">
        <f>S9</f>
        <v>532.4</v>
      </c>
      <c r="G12" s="7">
        <v>627.78747066931692</v>
      </c>
      <c r="H12" s="70">
        <f t="shared" si="2"/>
        <v>1179.1650463360575</v>
      </c>
      <c r="I12" s="9">
        <f t="shared" si="3"/>
        <v>666.9</v>
      </c>
      <c r="J12" s="7">
        <f t="shared" si="4"/>
        <v>887.18602113055294</v>
      </c>
      <c r="K12" s="70">
        <f t="shared" si="5"/>
        <v>1330.31342199813</v>
      </c>
      <c r="L12" s="4"/>
      <c r="M12" s="578" t="s">
        <v>386</v>
      </c>
      <c r="N12" s="20"/>
      <c r="O12" s="20"/>
      <c r="P12" s="20"/>
      <c r="Q12" s="20"/>
      <c r="R12" s="20"/>
      <c r="S12" s="20"/>
      <c r="T12" s="20"/>
    </row>
    <row r="13" spans="1:20">
      <c r="B13" s="713">
        <v>2020</v>
      </c>
      <c r="C13" s="9">
        <f>T10</f>
        <v>134.5</v>
      </c>
      <c r="D13" s="7">
        <v>276.05514765267202</v>
      </c>
      <c r="E13" s="70">
        <f t="shared" si="1"/>
        <v>2052.4546293878961</v>
      </c>
      <c r="F13" s="9">
        <f>T9</f>
        <v>532.4</v>
      </c>
      <c r="G13" s="7">
        <v>497.88811586319105</v>
      </c>
      <c r="H13" s="70">
        <f t="shared" si="2"/>
        <v>935.17677660253776</v>
      </c>
      <c r="I13" s="9">
        <f t="shared" si="3"/>
        <v>666.9</v>
      </c>
      <c r="J13" s="7">
        <f t="shared" si="4"/>
        <v>773.94326351586301</v>
      </c>
      <c r="K13" s="70">
        <f t="shared" si="5"/>
        <v>1160.5087172227666</v>
      </c>
      <c r="L13" s="4"/>
      <c r="M13" s="4"/>
      <c r="N13" s="32"/>
      <c r="O13" s="4"/>
      <c r="P13" s="4"/>
    </row>
    <row r="14" spans="1:20">
      <c r="B14" s="713">
        <v>2021</v>
      </c>
      <c r="C14" s="9">
        <f>C13</f>
        <v>134.5</v>
      </c>
      <c r="D14" s="7">
        <v>246.37349353085099</v>
      </c>
      <c r="E14" s="70">
        <f t="shared" si="1"/>
        <v>1831.7731861029813</v>
      </c>
      <c r="F14" s="9">
        <f>F13</f>
        <v>532.4</v>
      </c>
      <c r="G14" s="7">
        <v>401.57167836361305</v>
      </c>
      <c r="H14" s="70">
        <f t="shared" si="2"/>
        <v>754.26686394367596</v>
      </c>
      <c r="I14" s="9">
        <f t="shared" si="3"/>
        <v>666.9</v>
      </c>
      <c r="J14" s="7">
        <f t="shared" si="4"/>
        <v>647.94517189446401</v>
      </c>
      <c r="K14" s="70">
        <f t="shared" si="5"/>
        <v>971.57770564472037</v>
      </c>
      <c r="L14" s="4"/>
      <c r="M14" s="4"/>
      <c r="N14" s="32"/>
      <c r="O14" s="4"/>
      <c r="P14" s="4"/>
    </row>
    <row r="15" spans="1:20">
      <c r="B15" s="713">
        <v>2022</v>
      </c>
      <c r="C15" s="9">
        <f t="shared" ref="C15:C33" si="7">C14</f>
        <v>134.5</v>
      </c>
      <c r="D15" s="7">
        <v>239.98282972151699</v>
      </c>
      <c r="E15" s="70">
        <f t="shared" si="1"/>
        <v>1784.2589570373011</v>
      </c>
      <c r="F15" s="9">
        <f t="shared" ref="F15:F33" si="8">F14</f>
        <v>532.4</v>
      </c>
      <c r="G15" s="7">
        <v>320.39536198556402</v>
      </c>
      <c r="H15" s="70">
        <f t="shared" si="2"/>
        <v>601.79444399993247</v>
      </c>
      <c r="I15" s="9">
        <f t="shared" si="3"/>
        <v>666.9</v>
      </c>
      <c r="J15" s="7">
        <f t="shared" si="4"/>
        <v>560.37819170708099</v>
      </c>
      <c r="K15" s="70">
        <f t="shared" si="5"/>
        <v>840.27319194344125</v>
      </c>
      <c r="L15" s="4"/>
      <c r="M15" s="4"/>
      <c r="N15" s="32"/>
      <c r="O15" s="4"/>
      <c r="P15" s="4"/>
    </row>
    <row r="16" spans="1:20">
      <c r="B16" s="713">
        <v>2023</v>
      </c>
      <c r="C16" s="9">
        <f t="shared" si="7"/>
        <v>134.5</v>
      </c>
      <c r="D16" s="7">
        <v>234.80037642846</v>
      </c>
      <c r="E16" s="70">
        <f t="shared" si="1"/>
        <v>1745.7277057878066</v>
      </c>
      <c r="F16" s="9">
        <f t="shared" si="8"/>
        <v>532.4</v>
      </c>
      <c r="G16" s="7">
        <v>330.99111133504601</v>
      </c>
      <c r="H16" s="70">
        <f t="shared" si="2"/>
        <v>621.69630228220524</v>
      </c>
      <c r="I16" s="9">
        <f t="shared" si="3"/>
        <v>666.9</v>
      </c>
      <c r="J16" s="7">
        <f t="shared" si="4"/>
        <v>565.79148776350598</v>
      </c>
      <c r="K16" s="70">
        <f t="shared" si="5"/>
        <v>848.39029504199425</v>
      </c>
      <c r="L16" s="4"/>
      <c r="M16" s="4"/>
      <c r="N16" s="4"/>
      <c r="O16" s="4"/>
      <c r="P16" s="4"/>
    </row>
    <row r="17" spans="2:12">
      <c r="B17" s="713">
        <v>2024</v>
      </c>
      <c r="C17" s="9">
        <f t="shared" si="7"/>
        <v>134.5</v>
      </c>
      <c r="D17" s="7">
        <v>244.81277636161101</v>
      </c>
      <c r="E17" s="70">
        <f t="shared" si="1"/>
        <v>1820.1693409785205</v>
      </c>
      <c r="F17" s="9">
        <f t="shared" si="8"/>
        <v>532.4</v>
      </c>
      <c r="G17" s="7">
        <v>277.27053243062903</v>
      </c>
      <c r="H17" s="70">
        <f t="shared" si="2"/>
        <v>520.79363717248134</v>
      </c>
      <c r="I17" s="9">
        <f t="shared" si="3"/>
        <v>666.9</v>
      </c>
      <c r="J17" s="7">
        <f t="shared" si="4"/>
        <v>522.08330879224002</v>
      </c>
      <c r="K17" s="70">
        <f t="shared" si="5"/>
        <v>782.8509653504874</v>
      </c>
      <c r="L17" s="4"/>
    </row>
    <row r="18" spans="2:12" ht="12.75" customHeight="1">
      <c r="B18" s="713">
        <v>2025</v>
      </c>
      <c r="C18" s="9">
        <f t="shared" si="7"/>
        <v>134.5</v>
      </c>
      <c r="D18" s="7">
        <v>229.650771019926</v>
      </c>
      <c r="E18" s="70">
        <f t="shared" si="1"/>
        <v>1707.4406767280743</v>
      </c>
      <c r="F18" s="9">
        <f t="shared" si="8"/>
        <v>532.4</v>
      </c>
      <c r="G18" s="7">
        <v>267.95283283140799</v>
      </c>
      <c r="H18" s="70">
        <f t="shared" si="2"/>
        <v>503.29232312435767</v>
      </c>
      <c r="I18" s="9">
        <f t="shared" si="3"/>
        <v>666.9</v>
      </c>
      <c r="J18" s="7">
        <f t="shared" si="4"/>
        <v>497.60360385133401</v>
      </c>
      <c r="K18" s="70">
        <f t="shared" si="5"/>
        <v>746.14425528765037</v>
      </c>
    </row>
    <row r="19" spans="2:12" ht="12.75" customHeight="1">
      <c r="B19" s="713">
        <v>2026</v>
      </c>
      <c r="C19" s="9">
        <f t="shared" si="7"/>
        <v>134.5</v>
      </c>
      <c r="D19" s="7">
        <v>245.15966058328098</v>
      </c>
      <c r="E19" s="70">
        <f t="shared" si="1"/>
        <v>1822.7484058236505</v>
      </c>
      <c r="F19" s="9">
        <f t="shared" si="8"/>
        <v>532.4</v>
      </c>
      <c r="G19" s="7">
        <v>400.847612127486</v>
      </c>
      <c r="H19" s="70">
        <f t="shared" si="2"/>
        <v>752.90685974358746</v>
      </c>
      <c r="I19" s="9">
        <f t="shared" si="3"/>
        <v>666.9</v>
      </c>
      <c r="J19" s="7">
        <f t="shared" si="4"/>
        <v>646.00727271076698</v>
      </c>
      <c r="K19" s="70">
        <f t="shared" si="5"/>
        <v>968.67187391028187</v>
      </c>
    </row>
    <row r="20" spans="2:12">
      <c r="B20" s="713">
        <v>2027</v>
      </c>
      <c r="C20" s="9">
        <f t="shared" si="7"/>
        <v>134.5</v>
      </c>
      <c r="D20" s="7">
        <v>234.01225571955601</v>
      </c>
      <c r="E20" s="70">
        <f t="shared" si="1"/>
        <v>1739.8680722643569</v>
      </c>
      <c r="F20" s="9">
        <f t="shared" si="8"/>
        <v>532.4</v>
      </c>
      <c r="G20" s="7">
        <v>425.08203687353102</v>
      </c>
      <c r="H20" s="70">
        <f t="shared" si="2"/>
        <v>798.42606475118532</v>
      </c>
      <c r="I20" s="9">
        <f t="shared" si="3"/>
        <v>666.9</v>
      </c>
      <c r="J20" s="7">
        <f t="shared" si="4"/>
        <v>659.09429259308706</v>
      </c>
      <c r="K20" s="70">
        <f t="shared" si="5"/>
        <v>988.29553545222234</v>
      </c>
    </row>
    <row r="21" spans="2:12">
      <c r="B21" s="713">
        <v>2028</v>
      </c>
      <c r="C21" s="9">
        <f t="shared" si="7"/>
        <v>134.5</v>
      </c>
      <c r="D21" s="7">
        <v>238.54359265443603</v>
      </c>
      <c r="E21" s="70">
        <f t="shared" si="1"/>
        <v>1773.5583096984092</v>
      </c>
      <c r="F21" s="9">
        <f t="shared" si="8"/>
        <v>532.4</v>
      </c>
      <c r="G21" s="7">
        <v>398.14351506329001</v>
      </c>
      <c r="H21" s="70">
        <f t="shared" si="2"/>
        <v>747.82778937507521</v>
      </c>
      <c r="I21" s="9">
        <f t="shared" si="3"/>
        <v>666.9</v>
      </c>
      <c r="J21" s="7">
        <f t="shared" si="4"/>
        <v>636.68710771772601</v>
      </c>
      <c r="K21" s="70">
        <f t="shared" si="5"/>
        <v>954.69651779536071</v>
      </c>
    </row>
    <row r="22" spans="2:12">
      <c r="B22" s="713">
        <v>2029</v>
      </c>
      <c r="C22" s="9">
        <f t="shared" si="7"/>
        <v>134.5</v>
      </c>
      <c r="D22" s="7">
        <v>226.14871612561299</v>
      </c>
      <c r="E22" s="70">
        <f t="shared" si="1"/>
        <v>1681.4030938707285</v>
      </c>
      <c r="F22" s="9">
        <f t="shared" si="8"/>
        <v>532.4</v>
      </c>
      <c r="G22" s="7">
        <v>358.98644670315599</v>
      </c>
      <c r="H22" s="70">
        <f t="shared" si="2"/>
        <v>674.27957682786632</v>
      </c>
      <c r="I22" s="9">
        <f t="shared" si="3"/>
        <v>666.9</v>
      </c>
      <c r="J22" s="7">
        <f t="shared" si="4"/>
        <v>585.13516282876901</v>
      </c>
      <c r="K22" s="70">
        <f t="shared" si="5"/>
        <v>877.39565576363634</v>
      </c>
    </row>
    <row r="23" spans="2:12">
      <c r="B23" s="713">
        <v>2030</v>
      </c>
      <c r="C23" s="9">
        <f t="shared" si="7"/>
        <v>134.5</v>
      </c>
      <c r="D23" s="7">
        <v>206.96550004837999</v>
      </c>
      <c r="E23" s="70">
        <f t="shared" si="1"/>
        <v>1538.7769520325649</v>
      </c>
      <c r="F23" s="9">
        <f t="shared" si="8"/>
        <v>532.4</v>
      </c>
      <c r="G23" s="7">
        <v>590.391768460913</v>
      </c>
      <c r="H23" s="70">
        <f t="shared" si="2"/>
        <v>1108.9251849378531</v>
      </c>
      <c r="I23" s="9">
        <f t="shared" si="3"/>
        <v>666.9</v>
      </c>
      <c r="J23" s="7">
        <f t="shared" si="4"/>
        <v>797.35726850929302</v>
      </c>
      <c r="K23" s="70">
        <f t="shared" si="5"/>
        <v>1195.6174366611081</v>
      </c>
    </row>
    <row r="24" spans="2:12">
      <c r="B24" s="713">
        <v>2031</v>
      </c>
      <c r="C24" s="9">
        <f t="shared" si="7"/>
        <v>134.5</v>
      </c>
      <c r="D24" s="7">
        <v>205.03898755312301</v>
      </c>
      <c r="E24" s="70">
        <f t="shared" si="1"/>
        <v>1524.4534390566766</v>
      </c>
      <c r="F24" s="9">
        <f t="shared" si="8"/>
        <v>532.4</v>
      </c>
      <c r="G24" s="7">
        <v>580.76879706774196</v>
      </c>
      <c r="H24" s="70">
        <f t="shared" si="2"/>
        <v>1090.8504828469984</v>
      </c>
      <c r="I24" s="9">
        <f t="shared" si="3"/>
        <v>666.9</v>
      </c>
      <c r="J24" s="7">
        <f t="shared" si="4"/>
        <v>785.80778462086494</v>
      </c>
      <c r="K24" s="70">
        <f t="shared" si="5"/>
        <v>1178.2992721860323</v>
      </c>
    </row>
    <row r="25" spans="2:12">
      <c r="B25" s="713">
        <v>2032</v>
      </c>
      <c r="C25" s="9">
        <f t="shared" si="7"/>
        <v>134.5</v>
      </c>
      <c r="D25" s="7">
        <v>202.35226770958499</v>
      </c>
      <c r="E25" s="70">
        <f t="shared" si="1"/>
        <v>1504.477826837063</v>
      </c>
      <c r="F25" s="9">
        <f t="shared" si="8"/>
        <v>532.4</v>
      </c>
      <c r="G25" s="7">
        <v>573.28343288464293</v>
      </c>
      <c r="H25" s="70">
        <f t="shared" si="2"/>
        <v>1076.7908205947463</v>
      </c>
      <c r="I25" s="9">
        <f t="shared" si="3"/>
        <v>666.9</v>
      </c>
      <c r="J25" s="7">
        <f t="shared" si="4"/>
        <v>775.63570059422796</v>
      </c>
      <c r="K25" s="70">
        <f t="shared" si="5"/>
        <v>1163.0464846217244</v>
      </c>
    </row>
    <row r="26" spans="2:12">
      <c r="B26" s="713">
        <v>2033</v>
      </c>
      <c r="C26" s="9">
        <f t="shared" si="7"/>
        <v>134.5</v>
      </c>
      <c r="D26" s="7">
        <v>189.13600940178202</v>
      </c>
      <c r="E26" s="70">
        <f t="shared" si="1"/>
        <v>1406.2156832846247</v>
      </c>
      <c r="F26" s="9">
        <f t="shared" si="8"/>
        <v>532.4</v>
      </c>
      <c r="G26" s="7">
        <v>546.77236606071904</v>
      </c>
      <c r="H26" s="70">
        <f t="shared" si="2"/>
        <v>1026.9954283634843</v>
      </c>
      <c r="I26" s="9">
        <f t="shared" si="3"/>
        <v>666.9</v>
      </c>
      <c r="J26" s="7">
        <f t="shared" si="4"/>
        <v>735.908375462501</v>
      </c>
      <c r="K26" s="70">
        <f t="shared" si="5"/>
        <v>1103.4763464724861</v>
      </c>
    </row>
    <row r="27" spans="2:12">
      <c r="B27" s="713">
        <v>2034</v>
      </c>
      <c r="C27" s="9">
        <f t="shared" si="7"/>
        <v>134.5</v>
      </c>
      <c r="D27" s="7">
        <v>183.59071191449999</v>
      </c>
      <c r="E27" s="70">
        <f t="shared" si="1"/>
        <v>1364.9867056840149</v>
      </c>
      <c r="F27" s="9">
        <f t="shared" si="8"/>
        <v>532.4</v>
      </c>
      <c r="G27" s="7">
        <v>545.94008158672796</v>
      </c>
      <c r="H27" s="70">
        <f t="shared" si="2"/>
        <v>1025.4321592538092</v>
      </c>
      <c r="I27" s="9">
        <f t="shared" si="3"/>
        <v>666.9</v>
      </c>
      <c r="J27" s="7">
        <f t="shared" si="4"/>
        <v>729.53079350122789</v>
      </c>
      <c r="K27" s="70">
        <f t="shared" si="5"/>
        <v>1093.9133205896355</v>
      </c>
    </row>
    <row r="28" spans="2:12">
      <c r="B28" s="713">
        <v>2035</v>
      </c>
      <c r="C28" s="9">
        <f t="shared" si="7"/>
        <v>134.5</v>
      </c>
      <c r="D28" s="7">
        <v>176.49676937752901</v>
      </c>
      <c r="E28" s="70">
        <f t="shared" si="1"/>
        <v>1312.2436384946395</v>
      </c>
      <c r="F28" s="9">
        <f t="shared" si="8"/>
        <v>532.4</v>
      </c>
      <c r="G28" s="7">
        <v>515.17582791045004</v>
      </c>
      <c r="H28" s="70">
        <f t="shared" si="2"/>
        <v>967.64806143961323</v>
      </c>
      <c r="I28" s="9">
        <f t="shared" si="3"/>
        <v>666.9</v>
      </c>
      <c r="J28" s="7">
        <f t="shared" si="4"/>
        <v>691.67259728797899</v>
      </c>
      <c r="K28" s="70">
        <f t="shared" si="5"/>
        <v>1037.1458948687643</v>
      </c>
    </row>
    <row r="29" spans="2:12">
      <c r="B29" s="713">
        <v>2036</v>
      </c>
      <c r="C29" s="9">
        <f t="shared" si="7"/>
        <v>134.5</v>
      </c>
      <c r="D29" s="7">
        <v>172.251331619941</v>
      </c>
      <c r="E29" s="70">
        <f t="shared" si="1"/>
        <v>1280.67904550142</v>
      </c>
      <c r="F29" s="9">
        <f t="shared" si="8"/>
        <v>532.4</v>
      </c>
      <c r="G29" s="7">
        <v>492.26948188587403</v>
      </c>
      <c r="H29" s="70">
        <f t="shared" si="2"/>
        <v>924.6233694325208</v>
      </c>
      <c r="I29" s="9">
        <f t="shared" si="3"/>
        <v>666.9</v>
      </c>
      <c r="J29" s="7">
        <f t="shared" si="4"/>
        <v>664.520813505815</v>
      </c>
      <c r="K29" s="70">
        <f t="shared" si="5"/>
        <v>996.43246889460943</v>
      </c>
    </row>
    <row r="30" spans="2:12">
      <c r="B30" s="713">
        <v>2037</v>
      </c>
      <c r="C30" s="9">
        <f t="shared" si="7"/>
        <v>134.5</v>
      </c>
      <c r="D30" s="7">
        <v>156.186868682126</v>
      </c>
      <c r="E30" s="70">
        <f t="shared" si="1"/>
        <v>1161.2406593466617</v>
      </c>
      <c r="F30" s="9">
        <f t="shared" si="8"/>
        <v>532.4</v>
      </c>
      <c r="G30" s="7">
        <v>455.68310028748499</v>
      </c>
      <c r="H30" s="70">
        <f t="shared" si="2"/>
        <v>855.90364441676365</v>
      </c>
      <c r="I30" s="9">
        <f t="shared" si="3"/>
        <v>666.9</v>
      </c>
      <c r="J30" s="7">
        <f t="shared" si="4"/>
        <v>611.86996896961102</v>
      </c>
      <c r="K30" s="70">
        <f t="shared" si="5"/>
        <v>917.48383411247721</v>
      </c>
    </row>
    <row r="31" spans="2:12">
      <c r="B31" s="713">
        <v>2038</v>
      </c>
      <c r="C31" s="9">
        <f t="shared" si="7"/>
        <v>134.5</v>
      </c>
      <c r="D31" s="7">
        <v>145.361070451042</v>
      </c>
      <c r="E31" s="70">
        <f t="shared" si="1"/>
        <v>1080.7514531675986</v>
      </c>
      <c r="F31" s="9">
        <f t="shared" si="8"/>
        <v>532.4</v>
      </c>
      <c r="G31" s="7">
        <v>445.48037263680698</v>
      </c>
      <c r="H31" s="70">
        <f t="shared" si="2"/>
        <v>836.73999368295824</v>
      </c>
      <c r="I31" s="9">
        <f t="shared" si="3"/>
        <v>666.9</v>
      </c>
      <c r="J31" s="7">
        <f t="shared" si="4"/>
        <v>590.84144308784903</v>
      </c>
      <c r="K31" s="70">
        <f t="shared" si="5"/>
        <v>885.95208140328236</v>
      </c>
    </row>
    <row r="32" spans="2:12">
      <c r="B32" s="713">
        <v>2039</v>
      </c>
      <c r="C32" s="9">
        <f t="shared" si="7"/>
        <v>134.5</v>
      </c>
      <c r="D32" s="7">
        <v>131.80053324739001</v>
      </c>
      <c r="E32" s="70">
        <f t="shared" si="1"/>
        <v>979.9296152222305</v>
      </c>
      <c r="F32" s="9">
        <f t="shared" si="8"/>
        <v>532.4</v>
      </c>
      <c r="G32" s="287">
        <v>411.71666580808903</v>
      </c>
      <c r="H32" s="70">
        <f t="shared" si="2"/>
        <v>773.32206199866459</v>
      </c>
      <c r="I32" s="9">
        <f t="shared" si="3"/>
        <v>666.9</v>
      </c>
      <c r="J32" s="7">
        <f t="shared" si="4"/>
        <v>543.51719905547907</v>
      </c>
      <c r="K32" s="70">
        <f t="shared" si="5"/>
        <v>814.99055189005708</v>
      </c>
    </row>
    <row r="33" spans="2:15">
      <c r="B33" s="714">
        <v>2040</v>
      </c>
      <c r="C33" s="10">
        <f t="shared" si="7"/>
        <v>134.5</v>
      </c>
      <c r="D33" s="8">
        <v>126.06469738120701</v>
      </c>
      <c r="E33" s="135">
        <f t="shared" si="1"/>
        <v>937.28399539930865</v>
      </c>
      <c r="F33" s="10">
        <f t="shared" si="8"/>
        <v>532.4</v>
      </c>
      <c r="G33" s="14">
        <v>425.17197322291997</v>
      </c>
      <c r="H33" s="135">
        <f t="shared" si="2"/>
        <v>798.59499102727273</v>
      </c>
      <c r="I33" s="10">
        <f t="shared" si="3"/>
        <v>666.9</v>
      </c>
      <c r="J33" s="8">
        <f t="shared" si="4"/>
        <v>551.23667060412697</v>
      </c>
      <c r="K33" s="135">
        <f t="shared" si="5"/>
        <v>826.5657079084225</v>
      </c>
    </row>
    <row r="34" spans="2:15">
      <c r="B34" s="304" t="s">
        <v>383</v>
      </c>
    </row>
    <row r="35" spans="2:15">
      <c r="B35" s="304" t="s">
        <v>382</v>
      </c>
    </row>
    <row r="42" spans="2:15">
      <c r="L42" s="7"/>
    </row>
    <row r="43" spans="2:15">
      <c r="L43" s="4"/>
      <c r="M43" s="15"/>
      <c r="N43" s="15"/>
      <c r="O43" s="17"/>
    </row>
    <row r="44" spans="2:15">
      <c r="E44" s="4"/>
      <c r="F44" s="4"/>
      <c r="G44" s="4"/>
      <c r="H44" s="4"/>
      <c r="I44" s="4"/>
      <c r="J44" s="4"/>
      <c r="K44" s="4"/>
      <c r="M44" s="15"/>
      <c r="N44" s="15"/>
      <c r="O44" s="17"/>
    </row>
    <row r="45" spans="2:15">
      <c r="E45" s="4"/>
      <c r="F45" s="4"/>
      <c r="G45" s="4"/>
      <c r="H45" s="4"/>
      <c r="I45" s="4"/>
      <c r="J45" s="4"/>
      <c r="K45" s="4"/>
      <c r="M45" s="15"/>
      <c r="N45" s="51"/>
      <c r="O45" s="17"/>
    </row>
    <row r="46" spans="2:15">
      <c r="E46" s="4"/>
      <c r="F46" s="4"/>
      <c r="G46" s="4"/>
      <c r="M46" s="15"/>
      <c r="N46" s="15"/>
      <c r="O46" s="17"/>
    </row>
    <row r="47" spans="2:15">
      <c r="E47" s="4"/>
      <c r="F47" s="4"/>
      <c r="G47" s="4"/>
      <c r="M47" s="17"/>
      <c r="N47" s="17"/>
      <c r="O47" s="17"/>
    </row>
    <row r="48" spans="2:15">
      <c r="M48" s="17"/>
      <c r="N48" s="17"/>
      <c r="O48" s="17"/>
    </row>
    <row r="49" spans="13:15">
      <c r="M49" s="17"/>
      <c r="N49" s="17"/>
      <c r="O49" s="17"/>
    </row>
  </sheetData>
  <mergeCells count="4">
    <mergeCell ref="B6:B8"/>
    <mergeCell ref="C6:E6"/>
    <mergeCell ref="F6:H6"/>
    <mergeCell ref="I6:K6"/>
  </mergeCells>
  <phoneticPr fontId="13" type="noConversion"/>
  <hyperlinks>
    <hyperlink ref="A2" location="Indholdsfortegnelse!A1" display="Indholdsfortegnelse"/>
  </hyperlinks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6">
    <tabColor theme="9" tint="0.39997558519241921"/>
  </sheetPr>
  <dimension ref="A1:AI96"/>
  <sheetViews>
    <sheetView zoomScaleNormal="100" workbookViewId="0"/>
  </sheetViews>
  <sheetFormatPr defaultRowHeight="12.75"/>
  <cols>
    <col min="1" max="1" width="9.140625" customWidth="1"/>
    <col min="2" max="2" width="38.140625" bestFit="1" customWidth="1"/>
    <col min="3" max="13" width="7" style="41" customWidth="1"/>
    <col min="14" max="28" width="7" customWidth="1"/>
  </cols>
  <sheetData>
    <row r="1" spans="1:29">
      <c r="A1" s="130" t="s">
        <v>64</v>
      </c>
      <c r="B1" s="307"/>
      <c r="C1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</row>
    <row r="2" spans="1:29">
      <c r="A2" s="132" t="s">
        <v>56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</row>
    <row r="3" spans="1:29">
      <c r="A3" s="318" t="s">
        <v>1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</row>
    <row r="4" spans="1:29" s="307" customFormat="1">
      <c r="A4" s="318"/>
    </row>
    <row r="5" spans="1:29">
      <c r="A5" s="307"/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</row>
    <row r="6" spans="1:29">
      <c r="B6" s="241" t="s">
        <v>101</v>
      </c>
      <c r="C6" s="241">
        <v>2016</v>
      </c>
      <c r="D6" s="241">
        <v>2017</v>
      </c>
      <c r="E6" s="241">
        <v>2018</v>
      </c>
      <c r="F6" s="241">
        <v>2019</v>
      </c>
      <c r="G6" s="241">
        <v>2020</v>
      </c>
      <c r="H6" s="242">
        <v>2021</v>
      </c>
      <c r="I6" s="241">
        <v>2022</v>
      </c>
      <c r="J6" s="241">
        <v>2023</v>
      </c>
      <c r="K6" s="242">
        <v>2024</v>
      </c>
      <c r="L6" s="241">
        <v>2025</v>
      </c>
      <c r="M6" s="241">
        <v>2026</v>
      </c>
      <c r="N6" s="241">
        <v>2027</v>
      </c>
      <c r="O6" s="241">
        <v>2028</v>
      </c>
      <c r="P6" s="241">
        <v>2029</v>
      </c>
      <c r="Q6" s="241">
        <v>2030</v>
      </c>
      <c r="R6" s="242">
        <v>2031</v>
      </c>
      <c r="S6" s="242">
        <v>2032</v>
      </c>
      <c r="T6" s="242">
        <v>2033</v>
      </c>
      <c r="U6" s="242">
        <v>2034</v>
      </c>
      <c r="V6" s="242">
        <v>2035</v>
      </c>
      <c r="W6" s="242">
        <v>2036</v>
      </c>
      <c r="X6" s="242">
        <v>2037</v>
      </c>
      <c r="Y6" s="242">
        <v>2038</v>
      </c>
      <c r="Z6" s="242">
        <v>2039</v>
      </c>
      <c r="AA6" s="241">
        <v>2040</v>
      </c>
      <c r="AB6" s="307"/>
      <c r="AC6" s="307"/>
    </row>
    <row r="7" spans="1:29">
      <c r="B7" s="243" t="s">
        <v>8</v>
      </c>
      <c r="C7" s="248"/>
      <c r="D7" s="248"/>
      <c r="E7" s="248"/>
      <c r="F7" s="248"/>
      <c r="G7" s="248"/>
      <c r="H7" s="248"/>
      <c r="I7" s="249"/>
      <c r="J7" s="248"/>
      <c r="K7" s="249"/>
      <c r="L7" s="248"/>
      <c r="M7" s="248"/>
      <c r="N7" s="248"/>
      <c r="O7" s="248"/>
      <c r="P7" s="248"/>
      <c r="Q7" s="248"/>
      <c r="R7" s="248"/>
      <c r="S7" s="249"/>
      <c r="T7" s="249"/>
      <c r="U7" s="249"/>
      <c r="V7" s="249"/>
      <c r="W7" s="249"/>
      <c r="X7" s="249"/>
      <c r="Y7" s="249"/>
      <c r="Z7" s="249"/>
      <c r="AA7" s="248"/>
      <c r="AB7" s="307"/>
      <c r="AC7" s="307"/>
    </row>
    <row r="8" spans="1:29">
      <c r="B8" s="244" t="s">
        <v>178</v>
      </c>
      <c r="C8" s="250">
        <f>'Beregningsark, vind'!G60</f>
        <v>160</v>
      </c>
      <c r="D8" s="250">
        <f>'Beregningsark, vind'!H60</f>
        <v>160</v>
      </c>
      <c r="E8" s="250">
        <f>'Beregningsark, vind'!I60</f>
        <v>160</v>
      </c>
      <c r="F8" s="250">
        <f>'Beregningsark, vind'!J60</f>
        <v>160</v>
      </c>
      <c r="G8" s="250">
        <f>'Beregningsark, vind'!K60</f>
        <v>160</v>
      </c>
      <c r="H8" s="250">
        <f>'Beregningsark, vind'!L60</f>
        <v>160</v>
      </c>
      <c r="I8" s="250">
        <f>'Beregningsark, vind'!M60</f>
        <v>160</v>
      </c>
      <c r="J8" s="250">
        <f>'Beregningsark, vind'!N60</f>
        <v>160</v>
      </c>
      <c r="K8" s="250">
        <f>'Beregningsark, vind'!O60</f>
        <v>160</v>
      </c>
      <c r="L8" s="250">
        <f>'Beregningsark, vind'!P60</f>
        <v>160</v>
      </c>
      <c r="M8" s="250">
        <f>'Beregningsark, vind'!Q60</f>
        <v>160</v>
      </c>
      <c r="N8" s="250">
        <f>'Beregningsark, vind'!R60</f>
        <v>160</v>
      </c>
      <c r="O8" s="250">
        <f>'Beregningsark, vind'!S60</f>
        <v>0</v>
      </c>
      <c r="P8" s="250">
        <f>'Beregningsark, vind'!T60</f>
        <v>0</v>
      </c>
      <c r="Q8" s="250">
        <f>'Beregningsark, vind'!U60</f>
        <v>0</v>
      </c>
      <c r="R8" s="250">
        <f>'Beregningsark, vind'!V60</f>
        <v>0</v>
      </c>
      <c r="S8" s="250">
        <f>'Beregningsark, vind'!W60</f>
        <v>0</v>
      </c>
      <c r="T8" s="250">
        <f>'Beregningsark, vind'!X60</f>
        <v>0</v>
      </c>
      <c r="U8" s="250">
        <f>'Beregningsark, vind'!Y60</f>
        <v>0</v>
      </c>
      <c r="V8" s="250">
        <f>'Beregningsark, vind'!Z60</f>
        <v>0</v>
      </c>
      <c r="W8" s="250">
        <f>'Beregningsark, vind'!AA60</f>
        <v>0</v>
      </c>
      <c r="X8" s="250">
        <f>'Beregningsark, vind'!AB60</f>
        <v>0</v>
      </c>
      <c r="Y8" s="250">
        <f>'Beregningsark, vind'!AC60</f>
        <v>0</v>
      </c>
      <c r="Z8" s="250">
        <f>'Beregningsark, vind'!AD60</f>
        <v>0</v>
      </c>
      <c r="AA8" s="250">
        <f>'Beregningsark, vind'!AE60</f>
        <v>0</v>
      </c>
      <c r="AB8" s="307"/>
      <c r="AC8" s="307"/>
    </row>
    <row r="9" spans="1:29">
      <c r="B9" s="244" t="s">
        <v>179</v>
      </c>
      <c r="C9" s="250">
        <f>'Beregningsark, vind'!G61</f>
        <v>165.6</v>
      </c>
      <c r="D9" s="250">
        <f>'Beregningsark, vind'!H61</f>
        <v>165.6</v>
      </c>
      <c r="E9" s="250">
        <f>'Beregningsark, vind'!I61</f>
        <v>165.6</v>
      </c>
      <c r="F9" s="250">
        <f>'Beregningsark, vind'!J61</f>
        <v>165.6</v>
      </c>
      <c r="G9" s="250">
        <f>'Beregningsark, vind'!K61</f>
        <v>165.6</v>
      </c>
      <c r="H9" s="250">
        <f>'Beregningsark, vind'!L61</f>
        <v>165.6</v>
      </c>
      <c r="I9" s="250">
        <f>'Beregningsark, vind'!M61</f>
        <v>165.6</v>
      </c>
      <c r="J9" s="250">
        <f>'Beregningsark, vind'!N61</f>
        <v>165.6</v>
      </c>
      <c r="K9" s="250">
        <f>'Beregningsark, vind'!O61</f>
        <v>165.6</v>
      </c>
      <c r="L9" s="250">
        <f>'Beregningsark, vind'!P61</f>
        <v>165.6</v>
      </c>
      <c r="M9" s="250">
        <f>'Beregningsark, vind'!Q61</f>
        <v>165.6</v>
      </c>
      <c r="N9" s="250">
        <f>'Beregningsark, vind'!R61</f>
        <v>165.6</v>
      </c>
      <c r="O9" s="250">
        <f>'Beregningsark, vind'!S61</f>
        <v>165.6</v>
      </c>
      <c r="P9" s="250">
        <f>'Beregningsark, vind'!T61</f>
        <v>0</v>
      </c>
      <c r="Q9" s="250">
        <f>'Beregningsark, vind'!U61</f>
        <v>0</v>
      </c>
      <c r="R9" s="250">
        <f>'Beregningsark, vind'!V61</f>
        <v>0</v>
      </c>
      <c r="S9" s="250">
        <f>'Beregningsark, vind'!W61</f>
        <v>0</v>
      </c>
      <c r="T9" s="250">
        <f>'Beregningsark, vind'!X61</f>
        <v>0</v>
      </c>
      <c r="U9" s="250">
        <f>'Beregningsark, vind'!Y61</f>
        <v>0</v>
      </c>
      <c r="V9" s="250">
        <f>'Beregningsark, vind'!Z61</f>
        <v>0</v>
      </c>
      <c r="W9" s="250">
        <f>'Beregningsark, vind'!AA61</f>
        <v>0</v>
      </c>
      <c r="X9" s="250">
        <f>'Beregningsark, vind'!AB61</f>
        <v>0</v>
      </c>
      <c r="Y9" s="250">
        <f>'Beregningsark, vind'!AC61</f>
        <v>0</v>
      </c>
      <c r="Z9" s="250">
        <f>'Beregningsark, vind'!AD61</f>
        <v>0</v>
      </c>
      <c r="AA9" s="250">
        <f>'Beregningsark, vind'!AE61</f>
        <v>0</v>
      </c>
      <c r="AB9" s="307"/>
      <c r="AC9" s="307"/>
    </row>
    <row r="10" spans="1:29">
      <c r="B10" s="244" t="s">
        <v>180</v>
      </c>
      <c r="C10" s="250">
        <f>'Beregningsark, vind'!G62</f>
        <v>209.3</v>
      </c>
      <c r="D10" s="250">
        <f>'Beregningsark, vind'!H62</f>
        <v>209.3</v>
      </c>
      <c r="E10" s="250">
        <f>'Beregningsark, vind'!I62</f>
        <v>209.3</v>
      </c>
      <c r="F10" s="250">
        <f>'Beregningsark, vind'!J62</f>
        <v>209.3</v>
      </c>
      <c r="G10" s="250">
        <f>'Beregningsark, vind'!K62</f>
        <v>209.3</v>
      </c>
      <c r="H10" s="250">
        <f>'Beregningsark, vind'!L62</f>
        <v>209.3</v>
      </c>
      <c r="I10" s="250">
        <f>'Beregningsark, vind'!M62</f>
        <v>209.3</v>
      </c>
      <c r="J10" s="250">
        <f>'Beregningsark, vind'!N62</f>
        <v>209.3</v>
      </c>
      <c r="K10" s="250">
        <f>'Beregningsark, vind'!O62</f>
        <v>209.3</v>
      </c>
      <c r="L10" s="250">
        <f>'Beregningsark, vind'!P62</f>
        <v>209.3</v>
      </c>
      <c r="M10" s="250">
        <f>'Beregningsark, vind'!Q62</f>
        <v>209.3</v>
      </c>
      <c r="N10" s="250">
        <f>'Beregningsark, vind'!R62</f>
        <v>209.3</v>
      </c>
      <c r="O10" s="250">
        <f>'Beregningsark, vind'!S62</f>
        <v>209.3</v>
      </c>
      <c r="P10" s="250">
        <f>'Beregningsark, vind'!T62</f>
        <v>209.3</v>
      </c>
      <c r="Q10" s="250">
        <f>'Beregningsark, vind'!U62</f>
        <v>209.3</v>
      </c>
      <c r="R10" s="250">
        <f>'Beregningsark, vind'!V62</f>
        <v>209.3</v>
      </c>
      <c r="S10" s="250">
        <f>'Beregningsark, vind'!W62</f>
        <v>209.3</v>
      </c>
      <c r="T10" s="250">
        <f>'Beregningsark, vind'!X62</f>
        <v>209.3</v>
      </c>
      <c r="U10" s="250">
        <f>'Beregningsark, vind'!Y62</f>
        <v>209.3</v>
      </c>
      <c r="V10" s="250">
        <f>'Beregningsark, vind'!Z62</f>
        <v>0</v>
      </c>
      <c r="W10" s="250">
        <f>'Beregningsark, vind'!AA62</f>
        <v>0</v>
      </c>
      <c r="X10" s="250">
        <f>'Beregningsark, vind'!AB62</f>
        <v>0</v>
      </c>
      <c r="Y10" s="250">
        <f>'Beregningsark, vind'!AC62</f>
        <v>0</v>
      </c>
      <c r="Z10" s="250">
        <f>'Beregningsark, vind'!AD62</f>
        <v>0</v>
      </c>
      <c r="AA10" s="250">
        <f>'Beregningsark, vind'!AE62</f>
        <v>0</v>
      </c>
      <c r="AB10" s="307"/>
      <c r="AC10" s="307"/>
    </row>
    <row r="11" spans="1:29">
      <c r="B11" s="244" t="s">
        <v>181</v>
      </c>
      <c r="C11" s="250">
        <f>'Beregningsark, vind'!G63</f>
        <v>207</v>
      </c>
      <c r="D11" s="250">
        <f>'Beregningsark, vind'!H63</f>
        <v>207</v>
      </c>
      <c r="E11" s="250">
        <f>'Beregningsark, vind'!I63</f>
        <v>207</v>
      </c>
      <c r="F11" s="250">
        <f>'Beregningsark, vind'!J63</f>
        <v>207</v>
      </c>
      <c r="G11" s="250">
        <f>'Beregningsark, vind'!K63</f>
        <v>207</v>
      </c>
      <c r="H11" s="250">
        <f>'Beregningsark, vind'!L63</f>
        <v>207</v>
      </c>
      <c r="I11" s="250">
        <f>'Beregningsark, vind'!M63</f>
        <v>207</v>
      </c>
      <c r="J11" s="250">
        <f>'Beregningsark, vind'!N63</f>
        <v>207</v>
      </c>
      <c r="K11" s="250">
        <f>'Beregningsark, vind'!O63</f>
        <v>207</v>
      </c>
      <c r="L11" s="250">
        <f>'Beregningsark, vind'!P63</f>
        <v>207</v>
      </c>
      <c r="M11" s="250">
        <f>'Beregningsark, vind'!Q63</f>
        <v>207</v>
      </c>
      <c r="N11" s="250">
        <f>'Beregningsark, vind'!R63</f>
        <v>207</v>
      </c>
      <c r="O11" s="250">
        <f>'Beregningsark, vind'!S63</f>
        <v>207</v>
      </c>
      <c r="P11" s="250">
        <f>'Beregningsark, vind'!T63</f>
        <v>207</v>
      </c>
      <c r="Q11" s="250">
        <f>'Beregningsark, vind'!U63</f>
        <v>207</v>
      </c>
      <c r="R11" s="250">
        <f>'Beregningsark, vind'!V63</f>
        <v>207</v>
      </c>
      <c r="S11" s="250">
        <f>'Beregningsark, vind'!W63</f>
        <v>207</v>
      </c>
      <c r="T11" s="250">
        <f>'Beregningsark, vind'!X63</f>
        <v>207</v>
      </c>
      <c r="U11" s="250">
        <f>'Beregningsark, vind'!Y63</f>
        <v>207</v>
      </c>
      <c r="V11" s="250">
        <f>'Beregningsark, vind'!Z63</f>
        <v>207</v>
      </c>
      <c r="W11" s="250">
        <f>'Beregningsark, vind'!AA63</f>
        <v>0</v>
      </c>
      <c r="X11" s="250">
        <f>'Beregningsark, vind'!AB63</f>
        <v>0</v>
      </c>
      <c r="Y11" s="250">
        <f>'Beregningsark, vind'!AC63</f>
        <v>0</v>
      </c>
      <c r="Z11" s="250">
        <f>'Beregningsark, vind'!AD63</f>
        <v>0</v>
      </c>
      <c r="AA11" s="250">
        <f>'Beregningsark, vind'!AE63</f>
        <v>0</v>
      </c>
      <c r="AB11" s="307"/>
      <c r="AC11" s="307"/>
    </row>
    <row r="12" spans="1:29">
      <c r="B12" s="244" t="s">
        <v>182</v>
      </c>
      <c r="C12" s="250">
        <f>'Beregningsark, vind'!G64</f>
        <v>399.6</v>
      </c>
      <c r="D12" s="250">
        <f>'Beregningsark, vind'!H64</f>
        <v>399.6</v>
      </c>
      <c r="E12" s="250">
        <f>'Beregningsark, vind'!I64</f>
        <v>399.6</v>
      </c>
      <c r="F12" s="250">
        <f>'Beregningsark, vind'!J64</f>
        <v>399.6</v>
      </c>
      <c r="G12" s="250">
        <f>'Beregningsark, vind'!K64</f>
        <v>399.6</v>
      </c>
      <c r="H12" s="250">
        <f>'Beregningsark, vind'!L64</f>
        <v>399.6</v>
      </c>
      <c r="I12" s="250">
        <f>'Beregningsark, vind'!M64</f>
        <v>399.6</v>
      </c>
      <c r="J12" s="250">
        <f>'Beregningsark, vind'!N64</f>
        <v>399.6</v>
      </c>
      <c r="K12" s="250">
        <f>'Beregningsark, vind'!O64</f>
        <v>399.6</v>
      </c>
      <c r="L12" s="250">
        <f>'Beregningsark, vind'!P64</f>
        <v>399.6</v>
      </c>
      <c r="M12" s="250">
        <f>'Beregningsark, vind'!Q64</f>
        <v>399.6</v>
      </c>
      <c r="N12" s="250">
        <f>'Beregningsark, vind'!R64</f>
        <v>399.6</v>
      </c>
      <c r="O12" s="250">
        <f>'Beregningsark, vind'!S64</f>
        <v>399.6</v>
      </c>
      <c r="P12" s="250">
        <f>'Beregningsark, vind'!T64</f>
        <v>399.6</v>
      </c>
      <c r="Q12" s="250">
        <f>'Beregningsark, vind'!U64</f>
        <v>399.6</v>
      </c>
      <c r="R12" s="250">
        <f>'Beregningsark, vind'!V64</f>
        <v>399.6</v>
      </c>
      <c r="S12" s="250">
        <f>'Beregningsark, vind'!W64</f>
        <v>399.6</v>
      </c>
      <c r="T12" s="250">
        <f>'Beregningsark, vind'!X64</f>
        <v>399.6</v>
      </c>
      <c r="U12" s="250">
        <f>'Beregningsark, vind'!Y64</f>
        <v>399.6</v>
      </c>
      <c r="V12" s="250">
        <f>'Beregningsark, vind'!Z64</f>
        <v>399.6</v>
      </c>
      <c r="W12" s="250">
        <f>'Beregningsark, vind'!AA64</f>
        <v>399.6</v>
      </c>
      <c r="X12" s="250">
        <f>'Beregningsark, vind'!AB64</f>
        <v>399.6</v>
      </c>
      <c r="Y12" s="250">
        <f>'Beregningsark, vind'!AC64</f>
        <v>399.6</v>
      </c>
      <c r="Z12" s="250">
        <f>'Beregningsark, vind'!AD64</f>
        <v>0</v>
      </c>
      <c r="AA12" s="250">
        <f>'Beregningsark, vind'!AE64</f>
        <v>0</v>
      </c>
      <c r="AB12" s="307"/>
      <c r="AC12" s="307"/>
    </row>
    <row r="13" spans="1:29">
      <c r="B13" s="244" t="s">
        <v>183</v>
      </c>
      <c r="C13" s="250">
        <f>'Beregningsark, vind'!G65</f>
        <v>0</v>
      </c>
      <c r="D13" s="250">
        <f>'Beregningsark, vind'!H65</f>
        <v>0</v>
      </c>
      <c r="E13" s="250">
        <f>'Beregningsark, vind'!I65</f>
        <v>0</v>
      </c>
      <c r="F13" s="250">
        <f>'Beregningsark, vind'!J65</f>
        <v>406.7</v>
      </c>
      <c r="G13" s="250">
        <f>'Beregningsark, vind'!K65</f>
        <v>406.7</v>
      </c>
      <c r="H13" s="250">
        <f>'Beregningsark, vind'!L65</f>
        <v>406.7</v>
      </c>
      <c r="I13" s="250">
        <f>'Beregningsark, vind'!M65</f>
        <v>406.7</v>
      </c>
      <c r="J13" s="250">
        <f>'Beregningsark, vind'!N65</f>
        <v>406.7</v>
      </c>
      <c r="K13" s="250">
        <f>'Beregningsark, vind'!O65</f>
        <v>406.7</v>
      </c>
      <c r="L13" s="250">
        <f>'Beregningsark, vind'!P65</f>
        <v>406.7</v>
      </c>
      <c r="M13" s="250">
        <f>'Beregningsark, vind'!Q65</f>
        <v>406.7</v>
      </c>
      <c r="N13" s="250">
        <f>'Beregningsark, vind'!R65</f>
        <v>406.7</v>
      </c>
      <c r="O13" s="250">
        <f>'Beregningsark, vind'!S65</f>
        <v>406.7</v>
      </c>
      <c r="P13" s="250">
        <f>'Beregningsark, vind'!T65</f>
        <v>406.7</v>
      </c>
      <c r="Q13" s="250">
        <f>'Beregningsark, vind'!U65</f>
        <v>406.7</v>
      </c>
      <c r="R13" s="250">
        <f>'Beregningsark, vind'!V65</f>
        <v>406.7</v>
      </c>
      <c r="S13" s="250">
        <f>'Beregningsark, vind'!W65</f>
        <v>406.7</v>
      </c>
      <c r="T13" s="250">
        <f>'Beregningsark, vind'!X65</f>
        <v>406.7</v>
      </c>
      <c r="U13" s="250">
        <f>'Beregningsark, vind'!Y65</f>
        <v>406.7</v>
      </c>
      <c r="V13" s="250">
        <f>'Beregningsark, vind'!Z65</f>
        <v>406.7</v>
      </c>
      <c r="W13" s="250">
        <f>'Beregningsark, vind'!AA65</f>
        <v>406.7</v>
      </c>
      <c r="X13" s="250">
        <f>'Beregningsark, vind'!AB65</f>
        <v>406.7</v>
      </c>
      <c r="Y13" s="250">
        <f>'Beregningsark, vind'!AC65</f>
        <v>406.7</v>
      </c>
      <c r="Z13" s="250">
        <f>'Beregningsark, vind'!AD65</f>
        <v>406.7</v>
      </c>
      <c r="AA13" s="250">
        <f>'Beregningsark, vind'!AE65</f>
        <v>406.7</v>
      </c>
      <c r="AB13" s="307"/>
      <c r="AC13" s="307"/>
    </row>
    <row r="14" spans="1:29">
      <c r="B14" s="244" t="s">
        <v>70</v>
      </c>
      <c r="C14" s="250">
        <f>'Beregningsark, vind'!G66</f>
        <v>0</v>
      </c>
      <c r="D14" s="250">
        <f>'Beregningsark, vind'!H66</f>
        <v>0</v>
      </c>
      <c r="E14" s="250">
        <f>'Beregningsark, vind'!I66</f>
        <v>0</v>
      </c>
      <c r="F14" s="250">
        <f>'Beregningsark, vind'!J66</f>
        <v>0</v>
      </c>
      <c r="G14" s="250">
        <f>'Beregningsark, vind'!K66</f>
        <v>200</v>
      </c>
      <c r="H14" s="250">
        <f>'Beregningsark, vind'!L66</f>
        <v>400</v>
      </c>
      <c r="I14" s="250">
        <f>'Beregningsark, vind'!M66</f>
        <v>600</v>
      </c>
      <c r="J14" s="250">
        <f>'Beregningsark, vind'!N66</f>
        <v>600</v>
      </c>
      <c r="K14" s="250">
        <f>'Beregningsark, vind'!O66</f>
        <v>600</v>
      </c>
      <c r="L14" s="250">
        <f>'Beregningsark, vind'!P66</f>
        <v>600</v>
      </c>
      <c r="M14" s="250">
        <f>'Beregningsark, vind'!Q66</f>
        <v>600</v>
      </c>
      <c r="N14" s="250">
        <f>'Beregningsark, vind'!R66</f>
        <v>600</v>
      </c>
      <c r="O14" s="250">
        <f>'Beregningsark, vind'!S66</f>
        <v>600</v>
      </c>
      <c r="P14" s="250">
        <f>'Beregningsark, vind'!T66</f>
        <v>600</v>
      </c>
      <c r="Q14" s="250">
        <f>'Beregningsark, vind'!U66</f>
        <v>600</v>
      </c>
      <c r="R14" s="250">
        <f>'Beregningsark, vind'!V66</f>
        <v>600</v>
      </c>
      <c r="S14" s="250">
        <f>'Beregningsark, vind'!W66</f>
        <v>600</v>
      </c>
      <c r="T14" s="250">
        <f>'Beregningsark, vind'!X66</f>
        <v>600</v>
      </c>
      <c r="U14" s="250">
        <f>'Beregningsark, vind'!Y66</f>
        <v>600</v>
      </c>
      <c r="V14" s="250">
        <f>'Beregningsark, vind'!Z66</f>
        <v>600</v>
      </c>
      <c r="W14" s="250">
        <f>'Beregningsark, vind'!AA66</f>
        <v>600</v>
      </c>
      <c r="X14" s="250">
        <f>'Beregningsark, vind'!AB66</f>
        <v>600</v>
      </c>
      <c r="Y14" s="250">
        <f>'Beregningsark, vind'!AC66</f>
        <v>600</v>
      </c>
      <c r="Z14" s="250">
        <f>'Beregningsark, vind'!AD66</f>
        <v>600</v>
      </c>
      <c r="AA14" s="250">
        <f>'Beregningsark, vind'!AE66</f>
        <v>600</v>
      </c>
      <c r="AB14" s="307"/>
      <c r="AC14" s="307"/>
    </row>
    <row r="15" spans="1:29">
      <c r="B15" s="244" t="s">
        <v>257</v>
      </c>
      <c r="C15" s="250">
        <f>'Beregningsark, vind'!G67</f>
        <v>0</v>
      </c>
      <c r="D15" s="250">
        <f>'Beregningsark, vind'!H67</f>
        <v>0</v>
      </c>
      <c r="E15" s="250">
        <f>'Beregningsark, vind'!I67</f>
        <v>0</v>
      </c>
      <c r="F15" s="250">
        <f>'Beregningsark, vind'!J67</f>
        <v>0</v>
      </c>
      <c r="G15" s="250">
        <f>'Beregningsark, vind'!K67</f>
        <v>0</v>
      </c>
      <c r="H15" s="250">
        <f>'Beregningsark, vind'!L67</f>
        <v>0</v>
      </c>
      <c r="I15" s="250">
        <f>'Beregningsark, vind'!M67</f>
        <v>0</v>
      </c>
      <c r="J15" s="250">
        <f>'Beregningsark, vind'!N67</f>
        <v>0</v>
      </c>
      <c r="K15" s="250">
        <f>'Beregningsark, vind'!O67</f>
        <v>0</v>
      </c>
      <c r="L15" s="250">
        <f>'Beregningsark, vind'!P67</f>
        <v>0</v>
      </c>
      <c r="M15" s="250">
        <f>'Beregningsark, vind'!Q67</f>
        <v>0</v>
      </c>
      <c r="N15" s="250">
        <f>'Beregningsark, vind'!R67</f>
        <v>200</v>
      </c>
      <c r="O15" s="250">
        <f>'Beregningsark, vind'!S67</f>
        <v>400</v>
      </c>
      <c r="P15" s="250">
        <f>'Beregningsark, vind'!T67</f>
        <v>400</v>
      </c>
      <c r="Q15" s="250">
        <f>'Beregningsark, vind'!U67</f>
        <v>400</v>
      </c>
      <c r="R15" s="250">
        <f>'Beregningsark, vind'!V67</f>
        <v>400</v>
      </c>
      <c r="S15" s="250">
        <f>'Beregningsark, vind'!W67</f>
        <v>400</v>
      </c>
      <c r="T15" s="250">
        <f>'Beregningsark, vind'!X67</f>
        <v>400</v>
      </c>
      <c r="U15" s="250">
        <f>'Beregningsark, vind'!Y67</f>
        <v>400</v>
      </c>
      <c r="V15" s="250">
        <f>'Beregningsark, vind'!Z67</f>
        <v>400</v>
      </c>
      <c r="W15" s="250">
        <f>'Beregningsark, vind'!AA67</f>
        <v>400</v>
      </c>
      <c r="X15" s="250">
        <f>'Beregningsark, vind'!AB67</f>
        <v>400</v>
      </c>
      <c r="Y15" s="250">
        <f>'Beregningsark, vind'!AC67</f>
        <v>400</v>
      </c>
      <c r="Z15" s="250">
        <f>'Beregningsark, vind'!AD67</f>
        <v>400</v>
      </c>
      <c r="AA15" s="250">
        <f>'Beregningsark, vind'!AE67</f>
        <v>400</v>
      </c>
      <c r="AB15" s="307"/>
      <c r="AC15" s="307"/>
    </row>
    <row r="16" spans="1:29" s="129" customFormat="1">
      <c r="B16" s="244" t="s">
        <v>258</v>
      </c>
      <c r="C16" s="250">
        <f>'Beregningsark, vind'!G68</f>
        <v>0</v>
      </c>
      <c r="D16" s="250">
        <f>'Beregningsark, vind'!H68</f>
        <v>0</v>
      </c>
      <c r="E16" s="250">
        <f>'Beregningsark, vind'!I68</f>
        <v>0</v>
      </c>
      <c r="F16" s="250">
        <f>'Beregningsark, vind'!J68</f>
        <v>0</v>
      </c>
      <c r="G16" s="250">
        <f>'Beregningsark, vind'!K68</f>
        <v>0</v>
      </c>
      <c r="H16" s="250">
        <f>'Beregningsark, vind'!L68</f>
        <v>0</v>
      </c>
      <c r="I16" s="250">
        <f>'Beregningsark, vind'!M68</f>
        <v>0</v>
      </c>
      <c r="J16" s="250">
        <f>'Beregningsark, vind'!N68</f>
        <v>0</v>
      </c>
      <c r="K16" s="250">
        <f>'Beregningsark, vind'!O68</f>
        <v>0</v>
      </c>
      <c r="L16" s="250">
        <f>'Beregningsark, vind'!P68</f>
        <v>0</v>
      </c>
      <c r="M16" s="250">
        <f>'Beregningsark, vind'!Q68</f>
        <v>0</v>
      </c>
      <c r="N16" s="250">
        <f>'Beregningsark, vind'!R68</f>
        <v>0</v>
      </c>
      <c r="O16" s="250">
        <f>'Beregningsark, vind'!S68</f>
        <v>0</v>
      </c>
      <c r="P16" s="250">
        <f>'Beregningsark, vind'!T68</f>
        <v>0</v>
      </c>
      <c r="Q16" s="250">
        <f>'Beregningsark, vind'!U68</f>
        <v>200</v>
      </c>
      <c r="R16" s="250">
        <f>'Beregningsark, vind'!V68</f>
        <v>400</v>
      </c>
      <c r="S16" s="250">
        <f>'Beregningsark, vind'!W68</f>
        <v>400</v>
      </c>
      <c r="T16" s="250">
        <f>'Beregningsark, vind'!X68</f>
        <v>400</v>
      </c>
      <c r="U16" s="250">
        <f>'Beregningsark, vind'!Y68</f>
        <v>400</v>
      </c>
      <c r="V16" s="250">
        <f>'Beregningsark, vind'!Z68</f>
        <v>400</v>
      </c>
      <c r="W16" s="250">
        <f>'Beregningsark, vind'!AA68</f>
        <v>400</v>
      </c>
      <c r="X16" s="250">
        <f>'Beregningsark, vind'!AB68</f>
        <v>400</v>
      </c>
      <c r="Y16" s="250">
        <f>'Beregningsark, vind'!AC68</f>
        <v>400</v>
      </c>
      <c r="Z16" s="250">
        <f>'Beregningsark, vind'!AD68</f>
        <v>400</v>
      </c>
      <c r="AA16" s="250">
        <f>'Beregningsark, vind'!AE68</f>
        <v>400</v>
      </c>
      <c r="AB16" s="307"/>
      <c r="AC16" s="307"/>
    </row>
    <row r="17" spans="2:29" s="129" customFormat="1">
      <c r="B17" s="244" t="s">
        <v>297</v>
      </c>
      <c r="C17" s="250">
        <f>'Beregningsark, vind'!G69</f>
        <v>0</v>
      </c>
      <c r="D17" s="250">
        <f>'Beregningsark, vind'!H69</f>
        <v>0</v>
      </c>
      <c r="E17" s="250">
        <f>'Beregningsark, vind'!I69</f>
        <v>0</v>
      </c>
      <c r="F17" s="250">
        <f>'Beregningsark, vind'!J69</f>
        <v>0</v>
      </c>
      <c r="G17" s="250">
        <f>'Beregningsark, vind'!K69</f>
        <v>0</v>
      </c>
      <c r="H17" s="250">
        <f>'Beregningsark, vind'!L69</f>
        <v>0</v>
      </c>
      <c r="I17" s="250">
        <f>'Beregningsark, vind'!M69</f>
        <v>0</v>
      </c>
      <c r="J17" s="250">
        <f>'Beregningsark, vind'!N69</f>
        <v>0</v>
      </c>
      <c r="K17" s="250">
        <f>'Beregningsark, vind'!O69</f>
        <v>0</v>
      </c>
      <c r="L17" s="250">
        <f>'Beregningsark, vind'!P69</f>
        <v>0</v>
      </c>
      <c r="M17" s="250">
        <f>'Beregningsark, vind'!Q69</f>
        <v>0</v>
      </c>
      <c r="N17" s="250">
        <f>'Beregningsark, vind'!R69</f>
        <v>0</v>
      </c>
      <c r="O17" s="250">
        <f>'Beregningsark, vind'!S69</f>
        <v>0</v>
      </c>
      <c r="P17" s="250">
        <f>'Beregningsark, vind'!T69</f>
        <v>0</v>
      </c>
      <c r="Q17" s="250">
        <f>'Beregningsark, vind'!U69</f>
        <v>0</v>
      </c>
      <c r="R17" s="250">
        <f>'Beregningsark, vind'!V69</f>
        <v>0</v>
      </c>
      <c r="S17" s="250">
        <f>'Beregningsark, vind'!W69</f>
        <v>0</v>
      </c>
      <c r="T17" s="250">
        <f>'Beregningsark, vind'!X69</f>
        <v>200</v>
      </c>
      <c r="U17" s="250">
        <f>'Beregningsark, vind'!Y69</f>
        <v>400</v>
      </c>
      <c r="V17" s="250">
        <f>'Beregningsark, vind'!Z69</f>
        <v>400</v>
      </c>
      <c r="W17" s="250">
        <f>'Beregningsark, vind'!AA69</f>
        <v>400</v>
      </c>
      <c r="X17" s="250">
        <f>'Beregningsark, vind'!AB69</f>
        <v>400</v>
      </c>
      <c r="Y17" s="250">
        <f>'Beregningsark, vind'!AC69</f>
        <v>400</v>
      </c>
      <c r="Z17" s="250">
        <f>'Beregningsark, vind'!AD69</f>
        <v>400</v>
      </c>
      <c r="AA17" s="250">
        <f>'Beregningsark, vind'!AE69</f>
        <v>400</v>
      </c>
      <c r="AB17" s="307"/>
      <c r="AC17" s="307"/>
    </row>
    <row r="18" spans="2:29">
      <c r="B18" s="244" t="s">
        <v>259</v>
      </c>
      <c r="C18" s="250">
        <f>'Beregningsark, vind'!G70</f>
        <v>0</v>
      </c>
      <c r="D18" s="250">
        <f>'Beregningsark, vind'!H70</f>
        <v>0</v>
      </c>
      <c r="E18" s="250">
        <f>'Beregningsark, vind'!I70</f>
        <v>0</v>
      </c>
      <c r="F18" s="250">
        <f>'Beregningsark, vind'!J70</f>
        <v>0</v>
      </c>
      <c r="G18" s="250">
        <f>'Beregningsark, vind'!K70</f>
        <v>0</v>
      </c>
      <c r="H18" s="250">
        <f>'Beregningsark, vind'!L70</f>
        <v>0</v>
      </c>
      <c r="I18" s="250">
        <f>'Beregningsark, vind'!M70</f>
        <v>0</v>
      </c>
      <c r="J18" s="250">
        <f>'Beregningsark, vind'!N70</f>
        <v>0</v>
      </c>
      <c r="K18" s="250">
        <f>'Beregningsark, vind'!O70</f>
        <v>0</v>
      </c>
      <c r="L18" s="250">
        <f>'Beregningsark, vind'!P70</f>
        <v>0</v>
      </c>
      <c r="M18" s="250">
        <f>'Beregningsark, vind'!Q70</f>
        <v>0</v>
      </c>
      <c r="N18" s="250">
        <f>'Beregningsark, vind'!R70</f>
        <v>0</v>
      </c>
      <c r="O18" s="250">
        <f>'Beregningsark, vind'!S70</f>
        <v>0</v>
      </c>
      <c r="P18" s="250">
        <f>'Beregningsark, vind'!T70</f>
        <v>0</v>
      </c>
      <c r="Q18" s="250">
        <f>'Beregningsark, vind'!U70</f>
        <v>0</v>
      </c>
      <c r="R18" s="250">
        <f>'Beregningsark, vind'!V70</f>
        <v>0</v>
      </c>
      <c r="S18" s="250">
        <f>'Beregningsark, vind'!W70</f>
        <v>0</v>
      </c>
      <c r="T18" s="250">
        <f>'Beregningsark, vind'!X70</f>
        <v>0</v>
      </c>
      <c r="U18" s="250">
        <f>'Beregningsark, vind'!Y70</f>
        <v>0</v>
      </c>
      <c r="V18" s="250">
        <f>'Beregningsark, vind'!Z70</f>
        <v>0</v>
      </c>
      <c r="W18" s="250">
        <f>'Beregningsark, vind'!AA70</f>
        <v>200</v>
      </c>
      <c r="X18" s="250">
        <f>'Beregningsark, vind'!AB70</f>
        <v>400</v>
      </c>
      <c r="Y18" s="250">
        <f>'Beregningsark, vind'!AC70</f>
        <v>400</v>
      </c>
      <c r="Z18" s="250">
        <f>'Beregningsark, vind'!AD70</f>
        <v>400</v>
      </c>
      <c r="AA18" s="250">
        <f>'Beregningsark, vind'!AE70</f>
        <v>400</v>
      </c>
      <c r="AB18" s="307"/>
      <c r="AC18" s="307"/>
    </row>
    <row r="19" spans="2:29" s="307" customFormat="1">
      <c r="B19" s="245" t="s">
        <v>258</v>
      </c>
      <c r="C19" s="251">
        <f>'Beregningsark, vind'!G71</f>
        <v>0</v>
      </c>
      <c r="D19" s="251">
        <f>'Beregningsark, vind'!H71</f>
        <v>0</v>
      </c>
      <c r="E19" s="251">
        <f>'Beregningsark, vind'!I71</f>
        <v>0</v>
      </c>
      <c r="F19" s="251">
        <f>'Beregningsark, vind'!J71</f>
        <v>0</v>
      </c>
      <c r="G19" s="251">
        <f>'Beregningsark, vind'!K71</f>
        <v>0</v>
      </c>
      <c r="H19" s="251">
        <f>'Beregningsark, vind'!L71</f>
        <v>0</v>
      </c>
      <c r="I19" s="251">
        <f>'Beregningsark, vind'!M71</f>
        <v>0</v>
      </c>
      <c r="J19" s="251">
        <f>'Beregningsark, vind'!N71</f>
        <v>0</v>
      </c>
      <c r="K19" s="251">
        <f>'Beregningsark, vind'!O71</f>
        <v>0</v>
      </c>
      <c r="L19" s="251">
        <f>'Beregningsark, vind'!P71</f>
        <v>0</v>
      </c>
      <c r="M19" s="251">
        <f>'Beregningsark, vind'!Q71</f>
        <v>0</v>
      </c>
      <c r="N19" s="251">
        <f>'Beregningsark, vind'!R71</f>
        <v>0</v>
      </c>
      <c r="O19" s="251">
        <f>'Beregningsark, vind'!S71</f>
        <v>0</v>
      </c>
      <c r="P19" s="251">
        <f>'Beregningsark, vind'!T71</f>
        <v>0</v>
      </c>
      <c r="Q19" s="251">
        <f>'Beregningsark, vind'!U71</f>
        <v>0</v>
      </c>
      <c r="R19" s="251">
        <f>'Beregningsark, vind'!V71</f>
        <v>0</v>
      </c>
      <c r="S19" s="251">
        <f>'Beregningsark, vind'!W71</f>
        <v>0</v>
      </c>
      <c r="T19" s="251">
        <f>'Beregningsark, vind'!X71</f>
        <v>0</v>
      </c>
      <c r="U19" s="251">
        <f>'Beregningsark, vind'!Y71</f>
        <v>0</v>
      </c>
      <c r="V19" s="251">
        <f>'Beregningsark, vind'!Z71</f>
        <v>0</v>
      </c>
      <c r="W19" s="251">
        <f>'Beregningsark, vind'!AA71</f>
        <v>0</v>
      </c>
      <c r="X19" s="251">
        <f>'Beregningsark, vind'!AB71</f>
        <v>0</v>
      </c>
      <c r="Y19" s="251">
        <f>'Beregningsark, vind'!AC71</f>
        <v>0</v>
      </c>
      <c r="Z19" s="251">
        <f>'Beregningsark, vind'!AD71</f>
        <v>200</v>
      </c>
      <c r="AA19" s="251">
        <f>'Beregningsark, vind'!AE71</f>
        <v>400</v>
      </c>
    </row>
    <row r="20" spans="2:29">
      <c r="B20" s="246" t="s">
        <v>74</v>
      </c>
      <c r="C20" s="252"/>
      <c r="D20" s="252"/>
      <c r="E20" s="252"/>
      <c r="F20" s="252"/>
      <c r="G20" s="252"/>
      <c r="H20" s="252"/>
      <c r="I20" s="253"/>
      <c r="J20" s="252"/>
      <c r="K20" s="253"/>
      <c r="L20" s="252"/>
      <c r="M20" s="252"/>
      <c r="N20" s="252"/>
      <c r="O20" s="252"/>
      <c r="P20" s="252"/>
      <c r="Q20" s="252"/>
      <c r="R20" s="252"/>
      <c r="S20" s="252"/>
      <c r="T20" s="252"/>
      <c r="U20" s="253"/>
      <c r="V20" s="253"/>
      <c r="W20" s="253"/>
      <c r="X20" s="253"/>
      <c r="Y20" s="253"/>
      <c r="Z20" s="253"/>
      <c r="AA20" s="252"/>
      <c r="AB20" s="307"/>
      <c r="AC20" s="307"/>
    </row>
    <row r="21" spans="2:29">
      <c r="B21" s="244" t="s">
        <v>6</v>
      </c>
      <c r="C21" s="250">
        <f>'Beregningsark, vind'!G39</f>
        <v>55.750000000000007</v>
      </c>
      <c r="D21" s="250">
        <f>'Beregningsark, vind'!H39</f>
        <v>50.800000000000004</v>
      </c>
      <c r="E21" s="250">
        <f>'Beregningsark, vind'!I39</f>
        <v>50.800000000000004</v>
      </c>
      <c r="F21" s="250">
        <f>'Beregningsark, vind'!J39</f>
        <v>50.800000000000004</v>
      </c>
      <c r="G21" s="250">
        <f>'Beregningsark, vind'!K39</f>
        <v>236.8</v>
      </c>
      <c r="H21" s="250">
        <f>'Beregningsark, vind'!L39</f>
        <v>261.8</v>
      </c>
      <c r="I21" s="250">
        <f>'Beregningsark, vind'!M39</f>
        <v>261.8</v>
      </c>
      <c r="J21" s="250">
        <f>'Beregningsark, vind'!N39</f>
        <v>261.8</v>
      </c>
      <c r="K21" s="250">
        <f>'Beregningsark, vind'!O39</f>
        <v>261.8</v>
      </c>
      <c r="L21" s="250">
        <f>'Beregningsark, vind'!P39</f>
        <v>261.8</v>
      </c>
      <c r="M21" s="250">
        <f>'Beregningsark, vind'!Q39</f>
        <v>221.8</v>
      </c>
      <c r="N21" s="250">
        <f>'Beregningsark, vind'!R39</f>
        <v>221.8</v>
      </c>
      <c r="O21" s="250">
        <f>'Beregningsark, vind'!S39</f>
        <v>221.8</v>
      </c>
      <c r="P21" s="250">
        <f>'Beregningsark, vind'!T39</f>
        <v>221.8</v>
      </c>
      <c r="Q21" s="250">
        <f>'Beregningsark, vind'!U39</f>
        <v>221.8</v>
      </c>
      <c r="R21" s="250">
        <f>'Beregningsark, vind'!V39</f>
        <v>221.8</v>
      </c>
      <c r="S21" s="250">
        <f>'Beregningsark, vind'!W39</f>
        <v>221.8</v>
      </c>
      <c r="T21" s="250">
        <f>'Beregningsark, vind'!X39</f>
        <v>221.8</v>
      </c>
      <c r="U21" s="250">
        <f>'Beregningsark, vind'!Y39</f>
        <v>221.8</v>
      </c>
      <c r="V21" s="250">
        <f>'Beregningsark, vind'!Z39</f>
        <v>214.6</v>
      </c>
      <c r="W21" s="250">
        <f>'Beregningsark, vind'!AA39</f>
        <v>214.6</v>
      </c>
      <c r="X21" s="250">
        <f>'Beregningsark, vind'!AB39</f>
        <v>211</v>
      </c>
      <c r="Y21" s="250">
        <f>'Beregningsark, vind'!AC39</f>
        <v>211</v>
      </c>
      <c r="Z21" s="250">
        <f>'Beregningsark, vind'!AD39</f>
        <v>211</v>
      </c>
      <c r="AA21" s="250">
        <f>'Beregningsark, vind'!AE39</f>
        <v>211</v>
      </c>
      <c r="AB21" s="307"/>
      <c r="AC21" s="307"/>
    </row>
    <row r="22" spans="2:29">
      <c r="B22" s="244" t="s">
        <v>7</v>
      </c>
      <c r="C22" s="250">
        <f>'Beregningsark, vind'!G47</f>
        <v>73.8</v>
      </c>
      <c r="D22" s="250">
        <f>'Beregningsark, vind'!H47</f>
        <v>73.8</v>
      </c>
      <c r="E22" s="250">
        <f>'Beregningsark, vind'!I47</f>
        <v>73.8</v>
      </c>
      <c r="F22" s="250">
        <f>'Beregningsark, vind'!J47</f>
        <v>73.8</v>
      </c>
      <c r="G22" s="250">
        <f>'Beregningsark, vind'!K47</f>
        <v>287.8</v>
      </c>
      <c r="H22" s="250">
        <f>'Beregningsark, vind'!L47</f>
        <v>307.8</v>
      </c>
      <c r="I22" s="250">
        <f>'Beregningsark, vind'!M47</f>
        <v>307.8</v>
      </c>
      <c r="J22" s="250">
        <f>'Beregningsark, vind'!N47</f>
        <v>307.8</v>
      </c>
      <c r="K22" s="250">
        <f>'Beregningsark, vind'!O47</f>
        <v>307.8</v>
      </c>
      <c r="L22" s="250">
        <f>'Beregningsark, vind'!P47</f>
        <v>307.8</v>
      </c>
      <c r="M22" s="250">
        <f>'Beregningsark, vind'!Q47</f>
        <v>307.8</v>
      </c>
      <c r="N22" s="250">
        <f>'Beregningsark, vind'!R47</f>
        <v>307.8</v>
      </c>
      <c r="O22" s="250">
        <f>'Beregningsark, vind'!S47</f>
        <v>307.8</v>
      </c>
      <c r="P22" s="250">
        <f>'Beregningsark, vind'!T47</f>
        <v>260</v>
      </c>
      <c r="Q22" s="250">
        <f>'Beregningsark, vind'!U47</f>
        <v>260</v>
      </c>
      <c r="R22" s="250">
        <f>'Beregningsark, vind'!V47</f>
        <v>260</v>
      </c>
      <c r="S22" s="250">
        <f>'Beregningsark, vind'!W47</f>
        <v>260</v>
      </c>
      <c r="T22" s="250">
        <f>'Beregningsark, vind'!X47</f>
        <v>260</v>
      </c>
      <c r="U22" s="250">
        <f>'Beregningsark, vind'!Y47</f>
        <v>260</v>
      </c>
      <c r="V22" s="250">
        <f>'Beregningsark, vind'!Z47</f>
        <v>239</v>
      </c>
      <c r="W22" s="250">
        <f>'Beregningsark, vind'!AA47</f>
        <v>239</v>
      </c>
      <c r="X22" s="250">
        <f>'Beregningsark, vind'!AB47</f>
        <v>239</v>
      </c>
      <c r="Y22" s="250">
        <f>'Beregningsark, vind'!AC47</f>
        <v>239</v>
      </c>
      <c r="Z22" s="250">
        <f>'Beregningsark, vind'!AD47</f>
        <v>239</v>
      </c>
      <c r="AA22" s="250">
        <f>'Beregningsark, vind'!AE47</f>
        <v>239</v>
      </c>
      <c r="AB22" s="307"/>
      <c r="AC22" s="307"/>
    </row>
    <row r="23" spans="2:29">
      <c r="B23" s="243" t="s">
        <v>71</v>
      </c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307"/>
      <c r="AC23" s="307"/>
    </row>
    <row r="24" spans="2:29">
      <c r="B24" s="246" t="s">
        <v>6</v>
      </c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250"/>
      <c r="AA24" s="250"/>
      <c r="AB24" s="307"/>
      <c r="AC24" s="307"/>
    </row>
    <row r="25" spans="2:29">
      <c r="B25" s="244" t="s">
        <v>78</v>
      </c>
      <c r="C25" s="250">
        <f>'Beregningsark, vind'!G9</f>
        <v>468.4</v>
      </c>
      <c r="D25" s="250">
        <f>'Beregningsark, vind'!H9</f>
        <v>446.88866666666667</v>
      </c>
      <c r="E25" s="250">
        <f>'Beregningsark, vind'!I9</f>
        <v>426.0573333333333</v>
      </c>
      <c r="F25" s="250">
        <f>'Beregningsark, vind'!J9</f>
        <v>405.226</v>
      </c>
      <c r="G25" s="250">
        <f>'Beregningsark, vind'!K9</f>
        <v>384.39466666666669</v>
      </c>
      <c r="H25" s="250">
        <f>'Beregningsark, vind'!L9</f>
        <v>359.39261904761906</v>
      </c>
      <c r="I25" s="250">
        <f>'Beregningsark, vind'!M9</f>
        <v>334.39057142857143</v>
      </c>
      <c r="J25" s="250">
        <f>'Beregningsark, vind'!N9</f>
        <v>307.28257142857143</v>
      </c>
      <c r="K25" s="250">
        <f>'Beregningsark, vind'!O9</f>
        <v>280.17457142857143</v>
      </c>
      <c r="L25" s="250">
        <f>'Beregningsark, vind'!P9</f>
        <v>253.06657142857148</v>
      </c>
      <c r="M25" s="250">
        <f>'Beregningsark, vind'!Q9</f>
        <v>225.95857142857147</v>
      </c>
      <c r="N25" s="250">
        <f>'Beregningsark, vind'!R9</f>
        <v>193.6787755102041</v>
      </c>
      <c r="O25" s="250">
        <f>'Beregningsark, vind'!S9</f>
        <v>161.39897959183673</v>
      </c>
      <c r="P25" s="250">
        <f>'Beregningsark, vind'!T9</f>
        <v>129.11918367346937</v>
      </c>
      <c r="Q25" s="250">
        <f>'Beregningsark, vind'!U9</f>
        <v>96.83938775510201</v>
      </c>
      <c r="R25" s="250">
        <f>'Beregningsark, vind'!V9</f>
        <v>64.559591836734654</v>
      </c>
      <c r="S25" s="250">
        <f>'Beregningsark, vind'!W9</f>
        <v>32.279795918367299</v>
      </c>
      <c r="T25" s="250">
        <f>'Beregningsark, vind'!X9</f>
        <v>-5.6843418860808015E-14</v>
      </c>
      <c r="U25" s="250">
        <f>'Beregningsark, vind'!Y9</f>
        <v>0</v>
      </c>
      <c r="V25" s="250">
        <f>'Beregningsark, vind'!Z9</f>
        <v>0</v>
      </c>
      <c r="W25" s="250">
        <f>'Beregningsark, vind'!AA9</f>
        <v>0</v>
      </c>
      <c r="X25" s="250">
        <f>'Beregningsark, vind'!AB9</f>
        <v>0</v>
      </c>
      <c r="Y25" s="250">
        <f>'Beregningsark, vind'!AC9</f>
        <v>0</v>
      </c>
      <c r="Z25" s="250">
        <f>'Beregningsark, vind'!AD9</f>
        <v>0</v>
      </c>
      <c r="AA25" s="250">
        <f>'Beregningsark, vind'!AE9</f>
        <v>0</v>
      </c>
      <c r="AB25" s="307"/>
      <c r="AC25" s="307"/>
    </row>
    <row r="26" spans="2:29">
      <c r="B26" s="244" t="s">
        <v>213</v>
      </c>
      <c r="C26" s="250">
        <f>'Beregningsark, vind'!G10</f>
        <v>92.1</v>
      </c>
      <c r="D26" s="250">
        <f>'Beregningsark, vind'!H10</f>
        <v>92.1</v>
      </c>
      <c r="E26" s="250">
        <f>'Beregningsark, vind'!I10</f>
        <v>92.1</v>
      </c>
      <c r="F26" s="250">
        <f>'Beregningsark, vind'!J10</f>
        <v>92.1</v>
      </c>
      <c r="G26" s="250">
        <f>'Beregningsark, vind'!K10</f>
        <v>92.1</v>
      </c>
      <c r="H26" s="250">
        <f>'Beregningsark, vind'!L10</f>
        <v>92.1</v>
      </c>
      <c r="I26" s="250">
        <f>'Beregningsark, vind'!M10</f>
        <v>92.1</v>
      </c>
      <c r="J26" s="250">
        <f>'Beregningsark, vind'!N10</f>
        <v>92.1</v>
      </c>
      <c r="K26" s="250">
        <f>'Beregningsark, vind'!O10</f>
        <v>92.1</v>
      </c>
      <c r="L26" s="250">
        <f>'Beregningsark, vind'!P10</f>
        <v>92.1</v>
      </c>
      <c r="M26" s="250">
        <f>'Beregningsark, vind'!Q10</f>
        <v>92.1</v>
      </c>
      <c r="N26" s="250">
        <f>'Beregningsark, vind'!R10</f>
        <v>92.1</v>
      </c>
      <c r="O26" s="250">
        <f>'Beregningsark, vind'!S10</f>
        <v>92.1</v>
      </c>
      <c r="P26" s="250">
        <f>'Beregningsark, vind'!T10</f>
        <v>92.1</v>
      </c>
      <c r="Q26" s="250">
        <f>'Beregningsark, vind'!U10</f>
        <v>92.1</v>
      </c>
      <c r="R26" s="250">
        <f>'Beregningsark, vind'!V10</f>
        <v>92.1</v>
      </c>
      <c r="S26" s="250">
        <f>'Beregningsark, vind'!W10</f>
        <v>92.1</v>
      </c>
      <c r="T26" s="250">
        <f>'Beregningsark, vind'!X10</f>
        <v>92.1</v>
      </c>
      <c r="U26" s="250">
        <f>'Beregningsark, vind'!Y10</f>
        <v>76.75</v>
      </c>
      <c r="V26" s="250">
        <f>'Beregningsark, vind'!Z10</f>
        <v>61.4</v>
      </c>
      <c r="W26" s="250">
        <f>'Beregningsark, vind'!AA10</f>
        <v>46.05</v>
      </c>
      <c r="X26" s="250">
        <f>'Beregningsark, vind'!AB10</f>
        <v>30.699999999999996</v>
      </c>
      <c r="Y26" s="250">
        <f>'Beregningsark, vind'!AC10</f>
        <v>15.349999999999996</v>
      </c>
      <c r="Z26" s="250">
        <f>'Beregningsark, vind'!AD10</f>
        <v>0</v>
      </c>
      <c r="AA26" s="250">
        <f>'Beregningsark, vind'!AE10</f>
        <v>0</v>
      </c>
      <c r="AB26" s="307"/>
      <c r="AC26" s="307"/>
    </row>
    <row r="27" spans="2:29">
      <c r="B27" s="244" t="s">
        <v>247</v>
      </c>
      <c r="C27" s="250">
        <f>'Beregningsark, vind'!G11</f>
        <v>55</v>
      </c>
      <c r="D27" s="250">
        <f>'Beregningsark, vind'!H11</f>
        <v>120</v>
      </c>
      <c r="E27" s="250">
        <f>'Beregningsark, vind'!I11</f>
        <v>145</v>
      </c>
      <c r="F27" s="250">
        <f>'Beregningsark, vind'!J11</f>
        <v>183.12777999999997</v>
      </c>
      <c r="G27" s="250">
        <f>'Beregningsark, vind'!K11</f>
        <v>221.25556</v>
      </c>
      <c r="H27" s="250">
        <f>'Beregningsark, vind'!L11</f>
        <v>221.25556</v>
      </c>
      <c r="I27" s="250">
        <f>'Beregningsark, vind'!M11</f>
        <v>221.25556</v>
      </c>
      <c r="J27" s="250">
        <f>'Beregningsark, vind'!N11</f>
        <v>221.25556</v>
      </c>
      <c r="K27" s="250">
        <f>'Beregningsark, vind'!O11</f>
        <v>221.25556</v>
      </c>
      <c r="L27" s="250">
        <f>'Beregningsark, vind'!P11</f>
        <v>221.25556</v>
      </c>
      <c r="M27" s="250">
        <f>'Beregningsark, vind'!Q11</f>
        <v>221.25556</v>
      </c>
      <c r="N27" s="250">
        <f>'Beregningsark, vind'!R11</f>
        <v>221.25556</v>
      </c>
      <c r="O27" s="250">
        <f>'Beregningsark, vind'!S11</f>
        <v>221.25556</v>
      </c>
      <c r="P27" s="250">
        <f>'Beregningsark, vind'!T11</f>
        <v>221.25556</v>
      </c>
      <c r="Q27" s="250">
        <f>'Beregningsark, vind'!U11</f>
        <v>221.25556</v>
      </c>
      <c r="R27" s="250">
        <f>'Beregningsark, vind'!V11</f>
        <v>221.25556</v>
      </c>
      <c r="S27" s="250">
        <f>'Beregningsark, vind'!W11</f>
        <v>221.25556</v>
      </c>
      <c r="T27" s="250">
        <f>'Beregningsark, vind'!X11</f>
        <v>221.25556</v>
      </c>
      <c r="U27" s="250">
        <f>'Beregningsark, vind'!Y11</f>
        <v>221.25556</v>
      </c>
      <c r="V27" s="250">
        <f>'Beregningsark, vind'!Z11</f>
        <v>221.25556</v>
      </c>
      <c r="W27" s="250">
        <f>'Beregningsark, vind'!AA11</f>
        <v>221.25556</v>
      </c>
      <c r="X27" s="250">
        <f>'Beregningsark, vind'!AB11</f>
        <v>221.25556</v>
      </c>
      <c r="Y27" s="250">
        <f>'Beregningsark, vind'!AC11</f>
        <v>221.25556</v>
      </c>
      <c r="Z27" s="250">
        <f>'Beregningsark, vind'!AD11</f>
        <v>221.25556</v>
      </c>
      <c r="AA27" s="250">
        <f>'Beregningsark, vind'!AE11</f>
        <v>184.37963333333335</v>
      </c>
      <c r="AB27" s="307"/>
      <c r="AC27" s="307"/>
    </row>
    <row r="28" spans="2:29">
      <c r="B28" s="244" t="s">
        <v>121</v>
      </c>
      <c r="C28" s="250">
        <f>'Beregningsark, vind'!G12</f>
        <v>0</v>
      </c>
      <c r="D28" s="250">
        <f>'Beregningsark, vind'!H12</f>
        <v>0</v>
      </c>
      <c r="E28" s="250">
        <f>'Beregningsark, vind'!I12</f>
        <v>0</v>
      </c>
      <c r="F28" s="250">
        <f>'Beregningsark, vind'!J12</f>
        <v>0</v>
      </c>
      <c r="G28" s="250">
        <f>'Beregningsark, vind'!K12</f>
        <v>0</v>
      </c>
      <c r="H28" s="250">
        <f>'Beregningsark, vind'!L12</f>
        <v>41.678422857142834</v>
      </c>
      <c r="I28" s="250">
        <f>'Beregningsark, vind'!M12</f>
        <v>83.356845714285669</v>
      </c>
      <c r="J28" s="250">
        <f>'Beregningsark, vind'!N12</f>
        <v>139.64832571428568</v>
      </c>
      <c r="K28" s="250">
        <f>'Beregningsark, vind'!O12</f>
        <v>195.93980571428563</v>
      </c>
      <c r="L28" s="250">
        <f>'Beregningsark, vind'!P12</f>
        <v>252.2312857142856</v>
      </c>
      <c r="M28" s="250">
        <f>'Beregningsark, vind'!Q12</f>
        <v>308.52276571428558</v>
      </c>
      <c r="N28" s="250">
        <f>'Beregningsark, vind'!R12</f>
        <v>372.66901061224473</v>
      </c>
      <c r="O28" s="250">
        <f>'Beregningsark, vind'!S12</f>
        <v>436.81525551020388</v>
      </c>
      <c r="P28" s="250">
        <f>'Beregningsark, vind'!T12</f>
        <v>500.96150040816303</v>
      </c>
      <c r="Q28" s="250">
        <f>'Beregningsark, vind'!U12</f>
        <v>565.10774530612218</v>
      </c>
      <c r="R28" s="250">
        <f>'Beregningsark, vind'!V12</f>
        <v>629.25399020408133</v>
      </c>
      <c r="S28" s="250">
        <f>'Beregningsark, vind'!W12</f>
        <v>693.40023510204048</v>
      </c>
      <c r="T28" s="250">
        <f>'Beregningsark, vind'!X12</f>
        <v>757.54647999999963</v>
      </c>
      <c r="U28" s="250">
        <f>'Beregningsark, vind'!Y12</f>
        <v>817.28981333333297</v>
      </c>
      <c r="V28" s="250">
        <f>'Beregningsark, vind'!Z12</f>
        <v>877.03314666666631</v>
      </c>
      <c r="W28" s="250">
        <f>'Beregningsark, vind'!AA12</f>
        <v>936.77647999999965</v>
      </c>
      <c r="X28" s="250">
        <f>'Beregningsark, vind'!AB12</f>
        <v>996.51981333333299</v>
      </c>
      <c r="Y28" s="250">
        <f>'Beregningsark, vind'!AC12</f>
        <v>1056.2631466666662</v>
      </c>
      <c r="Z28" s="250">
        <f>'Beregningsark, vind'!AD12</f>
        <v>1116.0064799999996</v>
      </c>
      <c r="AA28" s="250">
        <f>'Beregningsark, vind'!AE12</f>
        <v>1179.0334066666662</v>
      </c>
      <c r="AB28" s="307"/>
      <c r="AC28" s="307"/>
    </row>
    <row r="29" spans="2:29">
      <c r="B29" s="246" t="s">
        <v>7</v>
      </c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  <c r="AA29" s="250"/>
      <c r="AB29" s="307"/>
      <c r="AC29" s="307"/>
    </row>
    <row r="30" spans="2:29">
      <c r="B30" s="244" t="s">
        <v>78</v>
      </c>
      <c r="C30" s="250">
        <f>'Beregningsark, vind'!G21</f>
        <v>1958.9</v>
      </c>
      <c r="D30" s="250">
        <f>'Beregningsark, vind'!H21</f>
        <v>1912.7604333333334</v>
      </c>
      <c r="E30" s="250">
        <f>'Beregningsark, vind'!I21</f>
        <v>1867.9528666666668</v>
      </c>
      <c r="F30" s="250">
        <f>'Beregningsark, vind'!J21</f>
        <v>1823.1453000000001</v>
      </c>
      <c r="G30" s="250">
        <f>'Beregningsark, vind'!K21</f>
        <v>1778.3377333333333</v>
      </c>
      <c r="H30" s="250">
        <f>'Beregningsark, vind'!L21</f>
        <v>1719.9476666666667</v>
      </c>
      <c r="I30" s="250">
        <f>'Beregningsark, vind'!M21</f>
        <v>1661.5576000000001</v>
      </c>
      <c r="J30" s="250">
        <f>'Beregningsark, vind'!N21</f>
        <v>1532.2082</v>
      </c>
      <c r="K30" s="250">
        <f>'Beregningsark, vind'!O21</f>
        <v>1402.8588000000002</v>
      </c>
      <c r="L30" s="250">
        <f>'Beregningsark, vind'!P21</f>
        <v>1273.5094000000001</v>
      </c>
      <c r="M30" s="250">
        <f>'Beregningsark, vind'!Q21</f>
        <v>1144.1600000000003</v>
      </c>
      <c r="N30" s="250">
        <f>'Beregningsark, vind'!R21</f>
        <v>980.70857142857176</v>
      </c>
      <c r="O30" s="250">
        <f>'Beregningsark, vind'!S21</f>
        <v>817.25714285714321</v>
      </c>
      <c r="P30" s="250">
        <f>'Beregningsark, vind'!T21</f>
        <v>653.80571428571466</v>
      </c>
      <c r="Q30" s="250">
        <f>'Beregningsark, vind'!U21</f>
        <v>490.35428571428605</v>
      </c>
      <c r="R30" s="250">
        <f>'Beregningsark, vind'!V21</f>
        <v>326.90285714285744</v>
      </c>
      <c r="S30" s="250">
        <f>'Beregningsark, vind'!W21</f>
        <v>163.45142857142883</v>
      </c>
      <c r="T30" s="250">
        <f>'Beregningsark, vind'!X21</f>
        <v>2.2737367544323206E-13</v>
      </c>
      <c r="U30" s="250">
        <f>'Beregningsark, vind'!Y21</f>
        <v>0</v>
      </c>
      <c r="V30" s="250">
        <f>'Beregningsark, vind'!Z21</f>
        <v>0</v>
      </c>
      <c r="W30" s="250">
        <f>'Beregningsark, vind'!AA21</f>
        <v>0</v>
      </c>
      <c r="X30" s="250">
        <f>'Beregningsark, vind'!AB21</f>
        <v>0</v>
      </c>
      <c r="Y30" s="250">
        <f>'Beregningsark, vind'!AC21</f>
        <v>0</v>
      </c>
      <c r="Z30" s="250">
        <f>'Beregningsark, vind'!AD21</f>
        <v>0</v>
      </c>
      <c r="AA30" s="250">
        <f>'Beregningsark, vind'!AE21</f>
        <v>0</v>
      </c>
      <c r="AB30" s="307"/>
      <c r="AC30" s="307"/>
    </row>
    <row r="31" spans="2:29">
      <c r="B31" s="244" t="s">
        <v>213</v>
      </c>
      <c r="C31" s="250">
        <f>'Beregningsark, vind'!G22</f>
        <v>950.2</v>
      </c>
      <c r="D31" s="250">
        <f>'Beregningsark, vind'!H22</f>
        <v>950.2</v>
      </c>
      <c r="E31" s="250">
        <f>'Beregningsark, vind'!I22</f>
        <v>950.2</v>
      </c>
      <c r="F31" s="250">
        <f>'Beregningsark, vind'!J22</f>
        <v>950.2</v>
      </c>
      <c r="G31" s="250">
        <f>'Beregningsark, vind'!K22</f>
        <v>950.2</v>
      </c>
      <c r="H31" s="250">
        <f>'Beregningsark, vind'!L22</f>
        <v>950.2</v>
      </c>
      <c r="I31" s="250">
        <f>'Beregningsark, vind'!M22</f>
        <v>950.2</v>
      </c>
      <c r="J31" s="250">
        <f>'Beregningsark, vind'!N22</f>
        <v>950.2</v>
      </c>
      <c r="K31" s="250">
        <f>'Beregningsark, vind'!O22</f>
        <v>950.2</v>
      </c>
      <c r="L31" s="250">
        <f>'Beregningsark, vind'!P22</f>
        <v>950.2</v>
      </c>
      <c r="M31" s="250">
        <f>'Beregningsark, vind'!Q22</f>
        <v>950.2</v>
      </c>
      <c r="N31" s="250">
        <f>'Beregningsark, vind'!R22</f>
        <v>950.2</v>
      </c>
      <c r="O31" s="250">
        <f>'Beregningsark, vind'!S22</f>
        <v>950.2</v>
      </c>
      <c r="P31" s="250">
        <f>'Beregningsark, vind'!T22</f>
        <v>950.2</v>
      </c>
      <c r="Q31" s="250">
        <f>'Beregningsark, vind'!U22</f>
        <v>950.2</v>
      </c>
      <c r="R31" s="250">
        <f>'Beregningsark, vind'!V22</f>
        <v>950.2</v>
      </c>
      <c r="S31" s="250">
        <f>'Beregningsark, vind'!W22</f>
        <v>950.2</v>
      </c>
      <c r="T31" s="250">
        <f>'Beregningsark, vind'!X22</f>
        <v>950.2</v>
      </c>
      <c r="U31" s="250">
        <f>'Beregningsark, vind'!Y22</f>
        <v>791.83333333333337</v>
      </c>
      <c r="V31" s="250">
        <f>'Beregningsark, vind'!Z22</f>
        <v>633.4666666666667</v>
      </c>
      <c r="W31" s="250">
        <f>'Beregningsark, vind'!AA22</f>
        <v>475.1</v>
      </c>
      <c r="X31" s="250">
        <f>'Beregningsark, vind'!AB22</f>
        <v>316.73333333333335</v>
      </c>
      <c r="Y31" s="250">
        <f>'Beregningsark, vind'!AC22</f>
        <v>158.36666666666667</v>
      </c>
      <c r="Z31" s="250">
        <f>'Beregningsark, vind'!AD22</f>
        <v>0</v>
      </c>
      <c r="AA31" s="250">
        <f>'Beregningsark, vind'!AE22</f>
        <v>0</v>
      </c>
      <c r="AB31" s="307"/>
      <c r="AC31" s="307"/>
    </row>
    <row r="32" spans="2:29">
      <c r="B32" s="244" t="s">
        <v>247</v>
      </c>
      <c r="C32" s="250">
        <f>'Beregningsark, vind'!G23</f>
        <v>284.53000000000003</v>
      </c>
      <c r="D32" s="250">
        <f>'Beregningsark, vind'!H23</f>
        <v>429.53000000000003</v>
      </c>
      <c r="E32" s="250">
        <f>'Beregningsark, vind'!I23</f>
        <v>614.53</v>
      </c>
      <c r="F32" s="250">
        <f>'Beregningsark, vind'!J23</f>
        <v>767.04111999999986</v>
      </c>
      <c r="G32" s="250">
        <f>'Beregningsark, vind'!K23</f>
        <v>919.55223999999998</v>
      </c>
      <c r="H32" s="250">
        <f>'Beregningsark, vind'!L23</f>
        <v>919.55223999999998</v>
      </c>
      <c r="I32" s="250">
        <f>'Beregningsark, vind'!M23</f>
        <v>919.55223999999998</v>
      </c>
      <c r="J32" s="250">
        <f>'Beregningsark, vind'!N23</f>
        <v>919.55223999999998</v>
      </c>
      <c r="K32" s="250">
        <f>'Beregningsark, vind'!O23</f>
        <v>919.55223999999998</v>
      </c>
      <c r="L32" s="250">
        <f>'Beregningsark, vind'!P23</f>
        <v>919.55223999999998</v>
      </c>
      <c r="M32" s="250">
        <f>'Beregningsark, vind'!Q23</f>
        <v>919.55223999999998</v>
      </c>
      <c r="N32" s="250">
        <f>'Beregningsark, vind'!R23</f>
        <v>919.55223999999998</v>
      </c>
      <c r="O32" s="250">
        <f>'Beregningsark, vind'!S23</f>
        <v>919.55223999999998</v>
      </c>
      <c r="P32" s="250">
        <f>'Beregningsark, vind'!T23</f>
        <v>919.55223999999998</v>
      </c>
      <c r="Q32" s="250">
        <f>'Beregningsark, vind'!U23</f>
        <v>919.55223999999998</v>
      </c>
      <c r="R32" s="250">
        <f>'Beregningsark, vind'!V23</f>
        <v>919.55223999999998</v>
      </c>
      <c r="S32" s="250">
        <f>'Beregningsark, vind'!W23</f>
        <v>919.55223999999998</v>
      </c>
      <c r="T32" s="250">
        <f>'Beregningsark, vind'!X23</f>
        <v>919.55223999999998</v>
      </c>
      <c r="U32" s="250">
        <f>'Beregningsark, vind'!Y23</f>
        <v>919.55223999999998</v>
      </c>
      <c r="V32" s="250">
        <f>'Beregningsark, vind'!Z23</f>
        <v>919.55223999999998</v>
      </c>
      <c r="W32" s="250">
        <f>'Beregningsark, vind'!AA23</f>
        <v>919.55223999999998</v>
      </c>
      <c r="X32" s="250">
        <f>'Beregningsark, vind'!AB23</f>
        <v>919.55223999999998</v>
      </c>
      <c r="Y32" s="250">
        <f>'Beregningsark, vind'!AC23</f>
        <v>919.55223999999998</v>
      </c>
      <c r="Z32" s="250">
        <f>'Beregningsark, vind'!AD23</f>
        <v>919.55223999999998</v>
      </c>
      <c r="AA32" s="250">
        <f>'Beregningsark, vind'!AE23</f>
        <v>766.29353333333336</v>
      </c>
      <c r="AB32" s="307"/>
      <c r="AC32" s="307"/>
    </row>
    <row r="33" spans="2:29">
      <c r="B33" s="244" t="s">
        <v>121</v>
      </c>
      <c r="C33" s="250">
        <f>'Beregningsark, vind'!G24</f>
        <v>0</v>
      </c>
      <c r="D33" s="250">
        <f>'Beregningsark, vind'!H24</f>
        <v>0</v>
      </c>
      <c r="E33" s="250">
        <f>'Beregningsark, vind'!I24</f>
        <v>0</v>
      </c>
      <c r="F33" s="250">
        <f>'Beregningsark, vind'!J24</f>
        <v>0</v>
      </c>
      <c r="G33" s="250">
        <f>'Beregningsark, vind'!K24</f>
        <v>0</v>
      </c>
      <c r="H33" s="250">
        <f>'Beregningsark, vind'!L24</f>
        <v>166.71369142857139</v>
      </c>
      <c r="I33" s="250">
        <f>'Beregningsark, vind'!M24</f>
        <v>333.42738285714279</v>
      </c>
      <c r="J33" s="250">
        <f>'Beregningsark, vind'!N24</f>
        <v>558.59330285714282</v>
      </c>
      <c r="K33" s="250">
        <f>'Beregningsark, vind'!O24</f>
        <v>783.75922285714273</v>
      </c>
      <c r="L33" s="250">
        <f>'Beregningsark, vind'!P24</f>
        <v>1008.9251428571428</v>
      </c>
      <c r="M33" s="250">
        <f>'Beregningsark, vind'!Q24</f>
        <v>1234.0910628571426</v>
      </c>
      <c r="N33" s="250">
        <f>'Beregningsark, vind'!R24</f>
        <v>1490.6760424489794</v>
      </c>
      <c r="O33" s="250">
        <f>'Beregningsark, vind'!S24</f>
        <v>1747.2610220408162</v>
      </c>
      <c r="P33" s="250">
        <f>'Beregningsark, vind'!T24</f>
        <v>2003.846001632653</v>
      </c>
      <c r="Q33" s="250">
        <f>'Beregningsark, vind'!U24</f>
        <v>2260.4309812244896</v>
      </c>
      <c r="R33" s="250">
        <f>'Beregningsark, vind'!V24</f>
        <v>2517.0159608163262</v>
      </c>
      <c r="S33" s="250">
        <f>'Beregningsark, vind'!W24</f>
        <v>2773.6009404081628</v>
      </c>
      <c r="T33" s="250">
        <f>'Beregningsark, vind'!X24</f>
        <v>3030.1859199999994</v>
      </c>
      <c r="U33" s="250">
        <f>'Beregningsark, vind'!Y24</f>
        <v>3269.1592533333328</v>
      </c>
      <c r="V33" s="250">
        <f>'Beregningsark, vind'!Z24</f>
        <v>3508.1325866666662</v>
      </c>
      <c r="W33" s="250">
        <f>'Beregningsark, vind'!AA24</f>
        <v>3747.1059199999995</v>
      </c>
      <c r="X33" s="250">
        <f>'Beregningsark, vind'!AB24</f>
        <v>3986.0792533333329</v>
      </c>
      <c r="Y33" s="250">
        <f>'Beregningsark, vind'!AC24</f>
        <v>4225.0525866666667</v>
      </c>
      <c r="Z33" s="250">
        <f>'Beregningsark, vind'!AD24</f>
        <v>4464.02592</v>
      </c>
      <c r="AA33" s="250">
        <f>'Beregningsark, vind'!AE24</f>
        <v>4716.1336266666667</v>
      </c>
      <c r="AB33" s="307"/>
      <c r="AC33" s="307"/>
    </row>
    <row r="34" spans="2:29">
      <c r="B34" s="247" t="s">
        <v>66</v>
      </c>
      <c r="C34" s="255">
        <f>SUM(C30:C33,C25:C28,C8:C19,C21:C22)</f>
        <v>5080.1800000000012</v>
      </c>
      <c r="D34" s="255">
        <f t="shared" ref="D34:AA34" si="0">SUM(D30:D33,D25:D28,D8:D19,D21:D22)</f>
        <v>5217.5791000000017</v>
      </c>
      <c r="E34" s="255">
        <f t="shared" si="0"/>
        <v>5361.9402000000018</v>
      </c>
      <c r="F34" s="255">
        <f t="shared" si="0"/>
        <v>5893.6402000000007</v>
      </c>
      <c r="G34" s="255">
        <f t="shared" si="0"/>
        <v>6618.6402000000007</v>
      </c>
      <c r="H34" s="255">
        <f t="shared" si="0"/>
        <v>6988.6402000000016</v>
      </c>
      <c r="I34" s="255">
        <f t="shared" si="0"/>
        <v>7313.6402000000007</v>
      </c>
      <c r="J34" s="255">
        <f t="shared" si="0"/>
        <v>7438.6402000000007</v>
      </c>
      <c r="K34" s="255">
        <f t="shared" si="0"/>
        <v>7563.6402000000007</v>
      </c>
      <c r="L34" s="255">
        <f t="shared" si="0"/>
        <v>7688.6402000000016</v>
      </c>
      <c r="M34" s="255">
        <f t="shared" si="0"/>
        <v>7773.6402000000016</v>
      </c>
      <c r="N34" s="255">
        <f t="shared" si="0"/>
        <v>8098.6402000000016</v>
      </c>
      <c r="O34" s="255">
        <f t="shared" si="0"/>
        <v>8263.6402000000016</v>
      </c>
      <c r="P34" s="255">
        <f t="shared" si="0"/>
        <v>8175.2402000000011</v>
      </c>
      <c r="Q34" s="255">
        <f t="shared" si="0"/>
        <v>8500.2402000000002</v>
      </c>
      <c r="R34" s="255">
        <f t="shared" si="0"/>
        <v>8825.2402000000002</v>
      </c>
      <c r="S34" s="255">
        <f t="shared" si="0"/>
        <v>8950.2402000000002</v>
      </c>
      <c r="T34" s="255">
        <f t="shared" si="0"/>
        <v>9275.2402000000002</v>
      </c>
      <c r="U34" s="255">
        <f t="shared" si="0"/>
        <v>9600.2401999999984</v>
      </c>
      <c r="V34" s="255">
        <f t="shared" si="0"/>
        <v>9487.7401999999984</v>
      </c>
      <c r="W34" s="255">
        <f t="shared" si="0"/>
        <v>9605.7401999999984</v>
      </c>
      <c r="X34" s="255">
        <f t="shared" si="0"/>
        <v>9927.140199999998</v>
      </c>
      <c r="Y34" s="255">
        <f t="shared" si="0"/>
        <v>10052.1402</v>
      </c>
      <c r="Z34" s="255">
        <f t="shared" si="0"/>
        <v>9977.5401999999995</v>
      </c>
      <c r="AA34" s="255">
        <f t="shared" si="0"/>
        <v>10302.540199999999</v>
      </c>
      <c r="AB34" s="307"/>
      <c r="AC34" s="307"/>
    </row>
    <row r="35" spans="2:29">
      <c r="B35" s="244" t="s">
        <v>67</v>
      </c>
      <c r="C35" s="250">
        <f>'Beregningsark, vind'!G192</f>
        <v>13907.759500000002</v>
      </c>
      <c r="D35" s="250">
        <f>'Beregningsark, vind'!H192</f>
        <v>14421.326378333333</v>
      </c>
      <c r="E35" s="250">
        <f>'Beregningsark, vind'!I192</f>
        <v>14953.163656666668</v>
      </c>
      <c r="F35" s="250">
        <f>'Beregningsark, vind'!J192</f>
        <v>17252.194303</v>
      </c>
      <c r="G35" s="250">
        <f>'Beregningsark, vind'!K192</f>
        <v>20268.324949333335</v>
      </c>
      <c r="H35" s="250">
        <f>'Beregningsark, vind'!L192</f>
        <v>21831.902744952382</v>
      </c>
      <c r="I35" s="250">
        <f>'Beregningsark, vind'!M192</f>
        <v>23203.230540571429</v>
      </c>
      <c r="J35" s="250">
        <f>'Beregningsark, vind'!N192</f>
        <v>23821.215108571429</v>
      </c>
      <c r="K35" s="250">
        <f>'Beregningsark, vind'!O192</f>
        <v>24439.199676571428</v>
      </c>
      <c r="L35" s="250">
        <f>'Beregningsark, vind'!P192</f>
        <v>25057.184244571428</v>
      </c>
      <c r="M35" s="250">
        <f>'Beregningsark, vind'!Q192</f>
        <v>25583.168812571428</v>
      </c>
      <c r="N35" s="250">
        <f>'Beregningsark, vind'!R192</f>
        <v>27173.512008489797</v>
      </c>
      <c r="O35" s="250">
        <f>'Beregningsark, vind'!S192</f>
        <v>28123.855204408163</v>
      </c>
      <c r="P35" s="250">
        <f>'Beregningsark, vind'!T192</f>
        <v>28050.098400326533</v>
      </c>
      <c r="Q35" s="250">
        <f>'Beregningsark, vind'!U192</f>
        <v>29640.441596244898</v>
      </c>
      <c r="R35" s="250">
        <f>'Beregningsark, vind'!V192</f>
        <v>31230.784792163264</v>
      </c>
      <c r="S35" s="250">
        <f>'Beregningsark, vind'!W192</f>
        <v>31901.127988081629</v>
      </c>
      <c r="T35" s="250">
        <f>'Beregningsark, vind'!X192</f>
        <v>33511.471184000002</v>
      </c>
      <c r="U35" s="250">
        <f>'Beregningsark, vind'!Y192</f>
        <v>34919.648017333333</v>
      </c>
      <c r="V35" s="250">
        <f>'Beregningsark, vind'!Z192</f>
        <v>34375.584850666666</v>
      </c>
      <c r="W35" s="250">
        <f>'Beregningsark, vind'!AA192</f>
        <v>34896.461683999994</v>
      </c>
      <c r="X35" s="250">
        <f>'Beregningsark, vind'!AB192</f>
        <v>36212.578517333328</v>
      </c>
      <c r="Y35" s="250">
        <f>'Beregningsark, vind'!AC192</f>
        <v>36680.755350666659</v>
      </c>
      <c r="Z35" s="250">
        <f>'Beregningsark, vind'!AD192</f>
        <v>36310.712183999996</v>
      </c>
      <c r="AA35" s="250">
        <f>'Beregningsark, vind'!AE192</f>
        <v>37687.809729000001</v>
      </c>
      <c r="AB35" s="307"/>
      <c r="AC35" s="307"/>
    </row>
    <row r="36" spans="2:29">
      <c r="B36" s="245" t="s">
        <v>68</v>
      </c>
      <c r="C36" s="256">
        <f>'Beregningsark, vind'!G196</f>
        <v>0.42328129495305084</v>
      </c>
      <c r="D36" s="256">
        <f>'Beregningsark, vind'!H196</f>
        <v>0.43599931615496623</v>
      </c>
      <c r="E36" s="256">
        <f>'Beregningsark, vind'!I196</f>
        <v>0.44925101198494549</v>
      </c>
      <c r="F36" s="256">
        <f>'Beregningsark, vind'!J196</f>
        <v>0.51447126216356232</v>
      </c>
      <c r="G36" s="256">
        <f>'Beregningsark, vind'!K196</f>
        <v>0.60429261181039629</v>
      </c>
      <c r="H36" s="256">
        <f>'Beregningsark, vind'!L196</f>
        <v>0.65210089167538121</v>
      </c>
      <c r="I36" s="256">
        <f>'Beregningsark, vind'!M196</f>
        <v>0.69178030126241197</v>
      </c>
      <c r="J36" s="256">
        <f>'Beregningsark, vind'!N196</f>
        <v>0.70978494412892756</v>
      </c>
      <c r="K36" s="256">
        <f>'Beregningsark, vind'!O196</f>
        <v>0.7273538391532961</v>
      </c>
      <c r="L36" s="256">
        <f>'Beregningsark, vind'!P196</f>
        <v>0.74511454203876393</v>
      </c>
      <c r="M36" s="256">
        <f>'Beregningsark, vind'!Q196</f>
        <v>0.76089331814938788</v>
      </c>
      <c r="N36" s="256">
        <f>'Beregningsark, vind'!R196</f>
        <v>0.80781845560077381</v>
      </c>
      <c r="O36" s="256">
        <f>'Beregningsark, vind'!S196</f>
        <v>0.83661935349012018</v>
      </c>
      <c r="P36" s="256">
        <f>'Beregningsark, vind'!T196</f>
        <v>0.83478077244790916</v>
      </c>
      <c r="Q36" s="256">
        <f>'Beregningsark, vind'!U196</f>
        <v>0.88062595476686067</v>
      </c>
      <c r="R36" s="256">
        <f>'Beregningsark, vind'!V196</f>
        <v>0.92847552454562976</v>
      </c>
      <c r="S36" s="256">
        <f>'Beregningsark, vind'!W196</f>
        <v>0.9487169959124786</v>
      </c>
      <c r="T36" s="256">
        <f>'Beregningsark, vind'!X196</f>
        <v>0.99830195425486046</v>
      </c>
      <c r="U36" s="256">
        <f>'Beregningsark, vind'!Y196</f>
        <v>1.0423136323552755</v>
      </c>
      <c r="V36" s="256">
        <f>'Beregningsark, vind'!Z196</f>
        <v>1.0250946553407221</v>
      </c>
      <c r="W36" s="256">
        <f>'Beregningsark, vind'!AA196</f>
        <v>1.0419555944394645</v>
      </c>
      <c r="X36" s="256">
        <f>'Beregningsark, vind'!AB196</f>
        <v>1.0815807454105002</v>
      </c>
      <c r="Y36" s="256">
        <f>'Beregningsark, vind'!AC196</f>
        <v>1.0961669162434995</v>
      </c>
      <c r="Z36" s="256">
        <f>'Beregningsark, vind'!AD196</f>
        <v>1.0855988198721245</v>
      </c>
      <c r="AA36" s="256">
        <f>'Beregningsark, vind'!AE196</f>
        <v>1.1241857759248772</v>
      </c>
      <c r="AB36" s="307"/>
      <c r="AC36" s="307"/>
    </row>
    <row r="37" spans="2:29">
      <c r="B37" s="241" t="s">
        <v>117</v>
      </c>
      <c r="C37" s="257">
        <f>'Beregningsark, vind'!G198</f>
        <v>0.40972870583771465</v>
      </c>
      <c r="D37" s="257">
        <f>'Beregningsark, vind'!H198</f>
        <v>0.41442924541689091</v>
      </c>
      <c r="E37" s="257">
        <f>'Beregningsark, vind'!I198</f>
        <v>0.41485068049003132</v>
      </c>
      <c r="F37" s="257">
        <f>'Beregningsark, vind'!J198</f>
        <v>0.46455371294230474</v>
      </c>
      <c r="G37" s="257">
        <f>'Beregningsark, vind'!K198</f>
        <v>0.53330255241143265</v>
      </c>
      <c r="H37" s="257">
        <f>'Beregningsark, vind'!L198</f>
        <v>0.56355533064219365</v>
      </c>
      <c r="I37" s="257">
        <f>'Beregningsark, vind'!M198</f>
        <v>0.58469589467451877</v>
      </c>
      <c r="J37" s="257">
        <f>'Beregningsark, vind'!N198</f>
        <v>0.58525373541101966</v>
      </c>
      <c r="K37" s="257">
        <f>'Beregningsark, vind'!O198</f>
        <v>0.59426473573914051</v>
      </c>
      <c r="L37" s="257">
        <f>'Beregningsark, vind'!P198</f>
        <v>0.60415437177757703</v>
      </c>
      <c r="M37" s="257">
        <f>'Beregningsark, vind'!Q198</f>
        <v>0.6086639967374472</v>
      </c>
      <c r="N37" s="257">
        <f>'Beregningsark, vind'!R198</f>
        <v>0.6404490111833111</v>
      </c>
      <c r="O37" s="257">
        <f>'Beregningsark, vind'!S198</f>
        <v>0.65815005168022411</v>
      </c>
      <c r="P37" s="257">
        <f>'Beregningsark, vind'!T198</f>
        <v>0.65262935236829711</v>
      </c>
      <c r="Q37" s="257">
        <f>'Beregningsark, vind'!U198</f>
        <v>0.68043397943053652</v>
      </c>
      <c r="R37" s="257">
        <f>'Beregningsark, vind'!V198</f>
        <v>0.71237808722313889</v>
      </c>
      <c r="S37" s="257">
        <f>'Beregningsark, vind'!W198</f>
        <v>0.72255641138293947</v>
      </c>
      <c r="T37" s="257">
        <f>'Beregningsark, vind'!X198</f>
        <v>0.75583932091406913</v>
      </c>
      <c r="U37" s="257">
        <f>'Beregningsark, vind'!Y198</f>
        <v>0.7843105706547725</v>
      </c>
      <c r="V37" s="257">
        <f>'Beregningsark, vind'!Z198</f>
        <v>0.76827862622633758</v>
      </c>
      <c r="W37" s="257">
        <f>'Beregningsark, vind'!AA198</f>
        <v>0.77497764845270356</v>
      </c>
      <c r="X37" s="257">
        <f>'Beregningsark, vind'!AB198</f>
        <v>0.79799416814010271</v>
      </c>
      <c r="Y37" s="257">
        <f>'Beregningsark, vind'!AC198</f>
        <v>0.80274603686899071</v>
      </c>
      <c r="Z37" s="257">
        <f>'Beregningsark, vind'!AD198</f>
        <v>0.7884654032607733</v>
      </c>
      <c r="AA37" s="257">
        <f>'Beregningsark, vind'!AE198</f>
        <v>0.80927326359147056</v>
      </c>
      <c r="AB37" s="307"/>
      <c r="AC37" s="307"/>
    </row>
    <row r="38" spans="2:29">
      <c r="B38" s="307"/>
      <c r="C38" s="307"/>
      <c r="D38" s="307"/>
      <c r="E38" s="307"/>
      <c r="F38" s="307"/>
      <c r="G38" s="307"/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307"/>
      <c r="S38" s="307"/>
      <c r="T38" s="307"/>
      <c r="U38" s="307"/>
      <c r="V38" s="307"/>
      <c r="W38" s="307"/>
      <c r="X38" s="307"/>
      <c r="Y38" s="307"/>
      <c r="Z38" s="307"/>
      <c r="AA38" s="307"/>
      <c r="AB38" s="307"/>
      <c r="AC38" s="307"/>
    </row>
    <row r="39" spans="2:29">
      <c r="B39" s="307"/>
      <c r="C39" s="307"/>
      <c r="D39" s="307"/>
      <c r="E39" s="307"/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7"/>
      <c r="W39" s="307"/>
      <c r="X39" s="307"/>
      <c r="Y39" s="307"/>
      <c r="Z39" s="307"/>
      <c r="AA39" s="307"/>
      <c r="AB39" s="307"/>
      <c r="AC39" s="307"/>
    </row>
    <row r="40" spans="2:29">
      <c r="B40" s="307"/>
      <c r="C40" s="307"/>
      <c r="D40" s="307"/>
      <c r="E40" s="307"/>
      <c r="F40" s="307"/>
      <c r="G40" s="307"/>
      <c r="H40" s="307"/>
      <c r="I40" s="307"/>
      <c r="J40" s="307"/>
      <c r="K40" s="307"/>
      <c r="L40" s="307"/>
      <c r="M40" s="307"/>
      <c r="N40" s="307"/>
      <c r="O40" s="307"/>
      <c r="P40" s="307"/>
      <c r="Q40" s="307"/>
      <c r="R40" s="307"/>
      <c r="S40" s="307"/>
      <c r="T40" s="307"/>
      <c r="U40" s="307"/>
      <c r="V40" s="307"/>
      <c r="W40" s="307"/>
      <c r="X40" s="307"/>
      <c r="Y40" s="307"/>
      <c r="Z40" s="307"/>
      <c r="AA40" s="307"/>
      <c r="AB40" s="307"/>
      <c r="AC40" s="307"/>
    </row>
    <row r="41" spans="2:29" s="129" customFormat="1">
      <c r="B41" s="307"/>
      <c r="C41" s="307"/>
      <c r="D41" s="307"/>
      <c r="E41" s="307"/>
      <c r="F41" s="307"/>
      <c r="G41" s="307"/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307"/>
      <c r="S41" s="307"/>
      <c r="T41" s="307"/>
      <c r="U41" s="307"/>
      <c r="V41" s="307"/>
      <c r="W41" s="307"/>
      <c r="X41" s="307"/>
      <c r="Y41" s="307"/>
      <c r="Z41" s="307"/>
      <c r="AA41" s="307"/>
      <c r="AB41" s="307"/>
      <c r="AC41" s="307"/>
    </row>
    <row r="42" spans="2:29" s="129" customFormat="1">
      <c r="B42" s="307"/>
      <c r="C42" s="307"/>
      <c r="D42" s="307"/>
      <c r="E42" s="307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307"/>
      <c r="X42" s="307"/>
      <c r="Y42" s="307"/>
      <c r="Z42" s="307"/>
      <c r="AA42" s="307"/>
      <c r="AB42" s="307"/>
      <c r="AC42" s="307"/>
    </row>
    <row r="43" spans="2:29">
      <c r="B43" s="307"/>
      <c r="C43" s="307"/>
      <c r="D43" s="307"/>
      <c r="E43" s="307"/>
      <c r="F43" s="307"/>
      <c r="G43" s="307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  <c r="S43" s="307"/>
      <c r="T43" s="307"/>
      <c r="U43" s="307"/>
      <c r="V43" s="307"/>
      <c r="W43" s="307"/>
      <c r="X43" s="307"/>
      <c r="Y43" s="307"/>
      <c r="Z43" s="307"/>
      <c r="AA43" s="307"/>
      <c r="AB43" s="307"/>
      <c r="AC43" s="307"/>
    </row>
    <row r="44" spans="2:29">
      <c r="B44" s="269" t="s">
        <v>101</v>
      </c>
      <c r="C44" s="270">
        <v>2016</v>
      </c>
      <c r="D44" s="270">
        <v>2017</v>
      </c>
      <c r="E44" s="270">
        <v>2018</v>
      </c>
      <c r="F44" s="270">
        <v>2019</v>
      </c>
      <c r="G44" s="270">
        <v>2020</v>
      </c>
      <c r="H44" s="270">
        <v>2021</v>
      </c>
      <c r="I44" s="270">
        <v>2022</v>
      </c>
      <c r="J44" s="270">
        <v>2023</v>
      </c>
      <c r="K44" s="270">
        <v>2024</v>
      </c>
      <c r="L44" s="270">
        <v>2025</v>
      </c>
      <c r="M44" s="270">
        <v>2026</v>
      </c>
      <c r="N44" s="270">
        <v>2027</v>
      </c>
      <c r="O44" s="270">
        <v>2028</v>
      </c>
      <c r="P44" s="270">
        <v>2029</v>
      </c>
      <c r="Q44" s="270">
        <v>2030</v>
      </c>
      <c r="R44" s="270">
        <v>2031</v>
      </c>
      <c r="S44" s="270">
        <v>2032</v>
      </c>
      <c r="T44" s="270">
        <v>2033</v>
      </c>
      <c r="U44" s="270">
        <v>2034</v>
      </c>
      <c r="V44" s="270">
        <v>2035</v>
      </c>
      <c r="W44" s="270">
        <v>2036</v>
      </c>
      <c r="X44" s="270">
        <v>2037</v>
      </c>
      <c r="Y44" s="270">
        <v>2038</v>
      </c>
      <c r="Z44" s="270">
        <v>2039</v>
      </c>
      <c r="AA44" s="271">
        <v>2040</v>
      </c>
      <c r="AB44" s="307"/>
      <c r="AC44" s="307"/>
    </row>
    <row r="45" spans="2:29" s="129" customFormat="1">
      <c r="B45" s="272" t="s">
        <v>6</v>
      </c>
      <c r="C45" s="273">
        <f>SUM(C50:C52)</f>
        <v>1043.8499999999999</v>
      </c>
      <c r="D45" s="273">
        <f t="shared" ref="D45:AA45" si="1">SUM(D50:D52)</f>
        <v>1082.3886666666667</v>
      </c>
      <c r="E45" s="273">
        <f t="shared" si="1"/>
        <v>1086.5573333333332</v>
      </c>
      <c r="F45" s="273">
        <f t="shared" si="1"/>
        <v>1103.8537799999999</v>
      </c>
      <c r="G45" s="273">
        <f t="shared" si="1"/>
        <v>1507.1502266666666</v>
      </c>
      <c r="H45" s="273">
        <f t="shared" si="1"/>
        <v>1748.8266019047619</v>
      </c>
      <c r="I45" s="273">
        <f t="shared" si="1"/>
        <v>1965.5029771428572</v>
      </c>
      <c r="J45" s="273">
        <f t="shared" si="1"/>
        <v>1994.6864571428569</v>
      </c>
      <c r="K45" s="273">
        <f t="shared" si="1"/>
        <v>2023.869937142857</v>
      </c>
      <c r="L45" s="273">
        <f t="shared" si="1"/>
        <v>2053.0534171428571</v>
      </c>
      <c r="M45" s="273">
        <f t="shared" si="1"/>
        <v>2042.2368971428573</v>
      </c>
      <c r="N45" s="273">
        <f t="shared" si="1"/>
        <v>2074.1033461224488</v>
      </c>
      <c r="O45" s="273">
        <f t="shared" si="1"/>
        <v>2105.9697951020407</v>
      </c>
      <c r="P45" s="273">
        <f t="shared" si="1"/>
        <v>1972.2362440816323</v>
      </c>
      <c r="Q45" s="273">
        <f t="shared" si="1"/>
        <v>2004.1026930612243</v>
      </c>
      <c r="R45" s="273">
        <f t="shared" si="1"/>
        <v>2035.969142040816</v>
      </c>
      <c r="S45" s="273">
        <f t="shared" si="1"/>
        <v>2067.8355910204077</v>
      </c>
      <c r="T45" s="273">
        <f t="shared" si="1"/>
        <v>2099.7020399999992</v>
      </c>
      <c r="U45" s="273">
        <f t="shared" si="1"/>
        <v>2144.0953733333326</v>
      </c>
      <c r="V45" s="273">
        <f t="shared" si="1"/>
        <v>2181.2887066666663</v>
      </c>
      <c r="W45" s="273">
        <f t="shared" si="1"/>
        <v>2218.6820399999997</v>
      </c>
      <c r="X45" s="273">
        <f t="shared" si="1"/>
        <v>2459.4753733333328</v>
      </c>
      <c r="Y45" s="273">
        <f t="shared" si="1"/>
        <v>2503.8687066666662</v>
      </c>
      <c r="Z45" s="273">
        <f t="shared" si="1"/>
        <v>2548.2620399999996</v>
      </c>
      <c r="AA45" s="274">
        <f t="shared" si="1"/>
        <v>2574.4130399999995</v>
      </c>
      <c r="AB45" s="307"/>
      <c r="AC45" s="307"/>
    </row>
    <row r="46" spans="2:29" s="129" customFormat="1">
      <c r="B46" s="259" t="s">
        <v>103</v>
      </c>
      <c r="C46" s="260">
        <f>C25</f>
        <v>468.4</v>
      </c>
      <c r="D46" s="260">
        <f t="shared" ref="D46:AA49" si="2">D25</f>
        <v>446.88866666666667</v>
      </c>
      <c r="E46" s="260">
        <f t="shared" si="2"/>
        <v>426.0573333333333</v>
      </c>
      <c r="F46" s="260">
        <f t="shared" si="2"/>
        <v>405.226</v>
      </c>
      <c r="G46" s="260">
        <f t="shared" si="2"/>
        <v>384.39466666666669</v>
      </c>
      <c r="H46" s="260">
        <f t="shared" si="2"/>
        <v>359.39261904761906</v>
      </c>
      <c r="I46" s="260">
        <f t="shared" si="2"/>
        <v>334.39057142857143</v>
      </c>
      <c r="J46" s="260">
        <f t="shared" si="2"/>
        <v>307.28257142857143</v>
      </c>
      <c r="K46" s="260">
        <f t="shared" si="2"/>
        <v>280.17457142857143</v>
      </c>
      <c r="L46" s="260">
        <f t="shared" si="2"/>
        <v>253.06657142857148</v>
      </c>
      <c r="M46" s="260">
        <f t="shared" si="2"/>
        <v>225.95857142857147</v>
      </c>
      <c r="N46" s="260">
        <f t="shared" si="2"/>
        <v>193.6787755102041</v>
      </c>
      <c r="O46" s="260">
        <f t="shared" si="2"/>
        <v>161.39897959183673</v>
      </c>
      <c r="P46" s="260">
        <f t="shared" si="2"/>
        <v>129.11918367346937</v>
      </c>
      <c r="Q46" s="260">
        <f t="shared" si="2"/>
        <v>96.83938775510201</v>
      </c>
      <c r="R46" s="260">
        <f t="shared" si="2"/>
        <v>64.559591836734654</v>
      </c>
      <c r="S46" s="260">
        <f t="shared" si="2"/>
        <v>32.279795918367299</v>
      </c>
      <c r="T46" s="260">
        <f t="shared" si="2"/>
        <v>-5.6843418860808015E-14</v>
      </c>
      <c r="U46" s="260">
        <f t="shared" si="2"/>
        <v>0</v>
      </c>
      <c r="V46" s="260">
        <f t="shared" si="2"/>
        <v>0</v>
      </c>
      <c r="W46" s="260">
        <f t="shared" si="2"/>
        <v>0</v>
      </c>
      <c r="X46" s="260">
        <f t="shared" si="2"/>
        <v>0</v>
      </c>
      <c r="Y46" s="260">
        <f t="shared" si="2"/>
        <v>0</v>
      </c>
      <c r="Z46" s="260">
        <f t="shared" si="2"/>
        <v>0</v>
      </c>
      <c r="AA46" s="261">
        <f t="shared" si="2"/>
        <v>0</v>
      </c>
      <c r="AB46" s="307"/>
      <c r="AC46" s="307"/>
    </row>
    <row r="47" spans="2:29" s="129" customFormat="1">
      <c r="B47" s="262" t="s">
        <v>260</v>
      </c>
      <c r="C47" s="260">
        <f t="shared" ref="C47:R49" si="3">C26</f>
        <v>92.1</v>
      </c>
      <c r="D47" s="260">
        <f t="shared" si="3"/>
        <v>92.1</v>
      </c>
      <c r="E47" s="260">
        <f t="shared" si="3"/>
        <v>92.1</v>
      </c>
      <c r="F47" s="260">
        <f t="shared" si="3"/>
        <v>92.1</v>
      </c>
      <c r="G47" s="260">
        <f t="shared" si="3"/>
        <v>92.1</v>
      </c>
      <c r="H47" s="260">
        <f t="shared" si="3"/>
        <v>92.1</v>
      </c>
      <c r="I47" s="260">
        <f t="shared" si="3"/>
        <v>92.1</v>
      </c>
      <c r="J47" s="260">
        <f t="shared" si="3"/>
        <v>92.1</v>
      </c>
      <c r="K47" s="260">
        <f t="shared" si="3"/>
        <v>92.1</v>
      </c>
      <c r="L47" s="260">
        <f t="shared" si="3"/>
        <v>92.1</v>
      </c>
      <c r="M47" s="260">
        <f t="shared" si="3"/>
        <v>92.1</v>
      </c>
      <c r="N47" s="260">
        <f t="shared" si="3"/>
        <v>92.1</v>
      </c>
      <c r="O47" s="260">
        <f t="shared" si="3"/>
        <v>92.1</v>
      </c>
      <c r="P47" s="260">
        <f t="shared" si="3"/>
        <v>92.1</v>
      </c>
      <c r="Q47" s="260">
        <f t="shared" si="3"/>
        <v>92.1</v>
      </c>
      <c r="R47" s="260">
        <f t="shared" si="3"/>
        <v>92.1</v>
      </c>
      <c r="S47" s="260">
        <f t="shared" si="2"/>
        <v>92.1</v>
      </c>
      <c r="T47" s="260">
        <f t="shared" si="2"/>
        <v>92.1</v>
      </c>
      <c r="U47" s="260">
        <f t="shared" si="2"/>
        <v>76.75</v>
      </c>
      <c r="V47" s="260">
        <f t="shared" si="2"/>
        <v>61.4</v>
      </c>
      <c r="W47" s="260">
        <f t="shared" si="2"/>
        <v>46.05</v>
      </c>
      <c r="X47" s="260">
        <f t="shared" si="2"/>
        <v>30.699999999999996</v>
      </c>
      <c r="Y47" s="260">
        <f t="shared" si="2"/>
        <v>15.349999999999996</v>
      </c>
      <c r="Z47" s="260">
        <f t="shared" si="2"/>
        <v>0</v>
      </c>
      <c r="AA47" s="261">
        <f t="shared" si="2"/>
        <v>0</v>
      </c>
      <c r="AB47" s="307"/>
      <c r="AC47" s="307"/>
    </row>
    <row r="48" spans="2:29" s="129" customFormat="1">
      <c r="B48" s="262" t="s">
        <v>261</v>
      </c>
      <c r="C48" s="260">
        <f t="shared" si="3"/>
        <v>55</v>
      </c>
      <c r="D48" s="260">
        <f t="shared" si="2"/>
        <v>120</v>
      </c>
      <c r="E48" s="260">
        <f t="shared" si="2"/>
        <v>145</v>
      </c>
      <c r="F48" s="260">
        <f t="shared" si="2"/>
        <v>183.12777999999997</v>
      </c>
      <c r="G48" s="260">
        <f t="shared" si="2"/>
        <v>221.25556</v>
      </c>
      <c r="H48" s="260">
        <f t="shared" si="2"/>
        <v>221.25556</v>
      </c>
      <c r="I48" s="260">
        <f t="shared" si="2"/>
        <v>221.25556</v>
      </c>
      <c r="J48" s="260">
        <f t="shared" si="2"/>
        <v>221.25556</v>
      </c>
      <c r="K48" s="260">
        <f t="shared" si="2"/>
        <v>221.25556</v>
      </c>
      <c r="L48" s="260">
        <f t="shared" si="2"/>
        <v>221.25556</v>
      </c>
      <c r="M48" s="260">
        <f t="shared" si="2"/>
        <v>221.25556</v>
      </c>
      <c r="N48" s="260">
        <f t="shared" si="2"/>
        <v>221.25556</v>
      </c>
      <c r="O48" s="260">
        <f t="shared" si="2"/>
        <v>221.25556</v>
      </c>
      <c r="P48" s="260">
        <f t="shared" si="2"/>
        <v>221.25556</v>
      </c>
      <c r="Q48" s="260">
        <f t="shared" si="2"/>
        <v>221.25556</v>
      </c>
      <c r="R48" s="260">
        <f t="shared" si="2"/>
        <v>221.25556</v>
      </c>
      <c r="S48" s="260">
        <f t="shared" si="2"/>
        <v>221.25556</v>
      </c>
      <c r="T48" s="260">
        <f t="shared" si="2"/>
        <v>221.25556</v>
      </c>
      <c r="U48" s="260">
        <f t="shared" si="2"/>
        <v>221.25556</v>
      </c>
      <c r="V48" s="260">
        <f t="shared" si="2"/>
        <v>221.25556</v>
      </c>
      <c r="W48" s="260">
        <f t="shared" si="2"/>
        <v>221.25556</v>
      </c>
      <c r="X48" s="260">
        <f t="shared" si="2"/>
        <v>221.25556</v>
      </c>
      <c r="Y48" s="260">
        <f t="shared" si="2"/>
        <v>221.25556</v>
      </c>
      <c r="Z48" s="260">
        <f t="shared" si="2"/>
        <v>221.25556</v>
      </c>
      <c r="AA48" s="261">
        <f t="shared" si="2"/>
        <v>184.37963333333335</v>
      </c>
      <c r="AB48" s="307"/>
      <c r="AC48" s="307"/>
    </row>
    <row r="49" spans="2:29" s="129" customFormat="1">
      <c r="B49" s="262" t="s">
        <v>145</v>
      </c>
      <c r="C49" s="260">
        <f t="shared" si="3"/>
        <v>0</v>
      </c>
      <c r="D49" s="260">
        <f t="shared" si="2"/>
        <v>0</v>
      </c>
      <c r="E49" s="260">
        <f t="shared" si="2"/>
        <v>0</v>
      </c>
      <c r="F49" s="260">
        <f t="shared" si="2"/>
        <v>0</v>
      </c>
      <c r="G49" s="260">
        <f t="shared" si="2"/>
        <v>0</v>
      </c>
      <c r="H49" s="260">
        <f t="shared" si="2"/>
        <v>41.678422857142834</v>
      </c>
      <c r="I49" s="260">
        <f t="shared" si="2"/>
        <v>83.356845714285669</v>
      </c>
      <c r="J49" s="260">
        <f t="shared" si="2"/>
        <v>139.64832571428568</v>
      </c>
      <c r="K49" s="260">
        <f t="shared" si="2"/>
        <v>195.93980571428563</v>
      </c>
      <c r="L49" s="260">
        <f t="shared" si="2"/>
        <v>252.2312857142856</v>
      </c>
      <c r="M49" s="260">
        <f t="shared" si="2"/>
        <v>308.52276571428558</v>
      </c>
      <c r="N49" s="260">
        <f t="shared" si="2"/>
        <v>372.66901061224473</v>
      </c>
      <c r="O49" s="260">
        <f t="shared" si="2"/>
        <v>436.81525551020388</v>
      </c>
      <c r="P49" s="260">
        <f t="shared" si="2"/>
        <v>500.96150040816303</v>
      </c>
      <c r="Q49" s="260">
        <f t="shared" si="2"/>
        <v>565.10774530612218</v>
      </c>
      <c r="R49" s="260">
        <f t="shared" si="2"/>
        <v>629.25399020408133</v>
      </c>
      <c r="S49" s="260">
        <f t="shared" si="2"/>
        <v>693.40023510204048</v>
      </c>
      <c r="T49" s="260">
        <f t="shared" si="2"/>
        <v>757.54647999999963</v>
      </c>
      <c r="U49" s="260">
        <f t="shared" si="2"/>
        <v>817.28981333333297</v>
      </c>
      <c r="V49" s="260">
        <f t="shared" si="2"/>
        <v>877.03314666666631</v>
      </c>
      <c r="W49" s="260">
        <f t="shared" si="2"/>
        <v>936.77647999999965</v>
      </c>
      <c r="X49" s="260">
        <f t="shared" si="2"/>
        <v>996.51981333333299</v>
      </c>
      <c r="Y49" s="260">
        <f t="shared" si="2"/>
        <v>1056.2631466666662</v>
      </c>
      <c r="Z49" s="260">
        <f t="shared" si="2"/>
        <v>1116.0064799999996</v>
      </c>
      <c r="AA49" s="261">
        <f t="shared" si="2"/>
        <v>1179.0334066666662</v>
      </c>
      <c r="AB49" s="307"/>
      <c r="AC49" s="307"/>
    </row>
    <row r="50" spans="2:29" s="129" customFormat="1">
      <c r="B50" s="262" t="s">
        <v>83</v>
      </c>
      <c r="C50" s="260">
        <f>SUM(C46:C49)</f>
        <v>615.5</v>
      </c>
      <c r="D50" s="260">
        <f t="shared" ref="D50:AA50" si="4">SUM(D46:D49)</f>
        <v>658.98866666666663</v>
      </c>
      <c r="E50" s="260">
        <f t="shared" si="4"/>
        <v>663.15733333333333</v>
      </c>
      <c r="F50" s="260">
        <f t="shared" si="4"/>
        <v>680.45378000000005</v>
      </c>
      <c r="G50" s="260">
        <f t="shared" si="4"/>
        <v>697.75022666666678</v>
      </c>
      <c r="H50" s="260">
        <f t="shared" si="4"/>
        <v>714.42660190476181</v>
      </c>
      <c r="I50" s="260">
        <f t="shared" si="4"/>
        <v>731.10297714285718</v>
      </c>
      <c r="J50" s="260">
        <f t="shared" si="4"/>
        <v>760.28645714285699</v>
      </c>
      <c r="K50" s="260">
        <f t="shared" si="4"/>
        <v>789.46993714285702</v>
      </c>
      <c r="L50" s="260">
        <f t="shared" si="4"/>
        <v>818.65341714285705</v>
      </c>
      <c r="M50" s="260">
        <f t="shared" si="4"/>
        <v>847.83689714285708</v>
      </c>
      <c r="N50" s="260">
        <f t="shared" si="4"/>
        <v>879.70334612244892</v>
      </c>
      <c r="O50" s="260">
        <f t="shared" si="4"/>
        <v>911.56979510204064</v>
      </c>
      <c r="P50" s="260">
        <f t="shared" si="4"/>
        <v>943.43624408163237</v>
      </c>
      <c r="Q50" s="260">
        <f t="shared" si="4"/>
        <v>975.3026930612242</v>
      </c>
      <c r="R50" s="260">
        <f t="shared" si="4"/>
        <v>1007.169142040816</v>
      </c>
      <c r="S50" s="260">
        <f t="shared" si="4"/>
        <v>1039.0355910204078</v>
      </c>
      <c r="T50" s="260">
        <f t="shared" si="4"/>
        <v>1070.9020399999995</v>
      </c>
      <c r="U50" s="260">
        <f t="shared" si="4"/>
        <v>1115.2953733333329</v>
      </c>
      <c r="V50" s="260">
        <f t="shared" si="4"/>
        <v>1159.6887066666663</v>
      </c>
      <c r="W50" s="260">
        <f t="shared" si="4"/>
        <v>1204.0820399999998</v>
      </c>
      <c r="X50" s="260">
        <f t="shared" si="4"/>
        <v>1248.475373333333</v>
      </c>
      <c r="Y50" s="260">
        <f t="shared" si="4"/>
        <v>1292.8687066666662</v>
      </c>
      <c r="Z50" s="260">
        <f t="shared" si="4"/>
        <v>1337.2620399999996</v>
      </c>
      <c r="AA50" s="261">
        <f t="shared" si="4"/>
        <v>1363.4130399999995</v>
      </c>
    </row>
    <row r="51" spans="2:29" s="129" customFormat="1">
      <c r="B51" s="262" t="s">
        <v>212</v>
      </c>
      <c r="C51" s="260">
        <f>C21</f>
        <v>55.750000000000007</v>
      </c>
      <c r="D51" s="260">
        <f t="shared" ref="D51:AA51" si="5">D21</f>
        <v>50.800000000000004</v>
      </c>
      <c r="E51" s="260">
        <f t="shared" si="5"/>
        <v>50.800000000000004</v>
      </c>
      <c r="F51" s="260">
        <f t="shared" si="5"/>
        <v>50.800000000000004</v>
      </c>
      <c r="G51" s="260">
        <f t="shared" si="5"/>
        <v>236.8</v>
      </c>
      <c r="H51" s="260">
        <f t="shared" si="5"/>
        <v>261.8</v>
      </c>
      <c r="I51" s="260">
        <f t="shared" si="5"/>
        <v>261.8</v>
      </c>
      <c r="J51" s="260">
        <f t="shared" si="5"/>
        <v>261.8</v>
      </c>
      <c r="K51" s="260">
        <f t="shared" si="5"/>
        <v>261.8</v>
      </c>
      <c r="L51" s="260">
        <f t="shared" si="5"/>
        <v>261.8</v>
      </c>
      <c r="M51" s="260">
        <f t="shared" si="5"/>
        <v>221.8</v>
      </c>
      <c r="N51" s="260">
        <f t="shared" si="5"/>
        <v>221.8</v>
      </c>
      <c r="O51" s="260">
        <f t="shared" si="5"/>
        <v>221.8</v>
      </c>
      <c r="P51" s="260">
        <f t="shared" si="5"/>
        <v>221.8</v>
      </c>
      <c r="Q51" s="260">
        <f t="shared" si="5"/>
        <v>221.8</v>
      </c>
      <c r="R51" s="260">
        <f t="shared" si="5"/>
        <v>221.8</v>
      </c>
      <c r="S51" s="260">
        <f t="shared" si="5"/>
        <v>221.8</v>
      </c>
      <c r="T51" s="260">
        <f t="shared" si="5"/>
        <v>221.8</v>
      </c>
      <c r="U51" s="260">
        <f t="shared" si="5"/>
        <v>221.8</v>
      </c>
      <c r="V51" s="260">
        <f t="shared" si="5"/>
        <v>214.6</v>
      </c>
      <c r="W51" s="260">
        <f t="shared" si="5"/>
        <v>214.6</v>
      </c>
      <c r="X51" s="260">
        <f t="shared" si="5"/>
        <v>211</v>
      </c>
      <c r="Y51" s="260">
        <f t="shared" si="5"/>
        <v>211</v>
      </c>
      <c r="Z51" s="260">
        <f t="shared" si="5"/>
        <v>211</v>
      </c>
      <c r="AA51" s="261">
        <f t="shared" si="5"/>
        <v>211</v>
      </c>
    </row>
    <row r="52" spans="2:29" s="129" customFormat="1">
      <c r="B52" s="264" t="s">
        <v>77</v>
      </c>
      <c r="C52" s="267">
        <f t="shared" ref="C52:AA52" si="6">C9+C11+C14+C18</f>
        <v>372.6</v>
      </c>
      <c r="D52" s="267">
        <f t="shared" si="6"/>
        <v>372.6</v>
      </c>
      <c r="E52" s="267">
        <f t="shared" si="6"/>
        <v>372.6</v>
      </c>
      <c r="F52" s="267">
        <f t="shared" si="6"/>
        <v>372.6</v>
      </c>
      <c r="G52" s="267">
        <f t="shared" si="6"/>
        <v>572.6</v>
      </c>
      <c r="H52" s="267">
        <f t="shared" si="6"/>
        <v>772.6</v>
      </c>
      <c r="I52" s="267">
        <f t="shared" si="6"/>
        <v>972.6</v>
      </c>
      <c r="J52" s="267">
        <f t="shared" si="6"/>
        <v>972.6</v>
      </c>
      <c r="K52" s="267">
        <f t="shared" si="6"/>
        <v>972.6</v>
      </c>
      <c r="L52" s="267">
        <f t="shared" si="6"/>
        <v>972.6</v>
      </c>
      <c r="M52" s="267">
        <f t="shared" si="6"/>
        <v>972.6</v>
      </c>
      <c r="N52" s="267">
        <f t="shared" si="6"/>
        <v>972.6</v>
      </c>
      <c r="O52" s="267">
        <f t="shared" si="6"/>
        <v>972.6</v>
      </c>
      <c r="P52" s="267">
        <f t="shared" si="6"/>
        <v>807</v>
      </c>
      <c r="Q52" s="267">
        <f t="shared" si="6"/>
        <v>807</v>
      </c>
      <c r="R52" s="267">
        <f t="shared" si="6"/>
        <v>807</v>
      </c>
      <c r="S52" s="267">
        <f t="shared" si="6"/>
        <v>807</v>
      </c>
      <c r="T52" s="267">
        <f t="shared" si="6"/>
        <v>807</v>
      </c>
      <c r="U52" s="267">
        <f t="shared" si="6"/>
        <v>807</v>
      </c>
      <c r="V52" s="267">
        <f t="shared" si="6"/>
        <v>807</v>
      </c>
      <c r="W52" s="267">
        <f t="shared" si="6"/>
        <v>800</v>
      </c>
      <c r="X52" s="267">
        <f t="shared" si="6"/>
        <v>1000</v>
      </c>
      <c r="Y52" s="267">
        <f t="shared" si="6"/>
        <v>1000</v>
      </c>
      <c r="Z52" s="267">
        <f t="shared" si="6"/>
        <v>1000</v>
      </c>
      <c r="AA52" s="268">
        <f t="shared" si="6"/>
        <v>1000</v>
      </c>
    </row>
    <row r="53" spans="2:29" s="129" customFormat="1">
      <c r="B53" s="272" t="s">
        <v>7</v>
      </c>
      <c r="C53" s="273">
        <f>SUM(C58:C60)</f>
        <v>4036.3300000000008</v>
      </c>
      <c r="D53" s="273">
        <f t="shared" ref="D53:AA53" si="7">SUM(D58:D60)</f>
        <v>4135.1904333333341</v>
      </c>
      <c r="E53" s="273">
        <f t="shared" si="7"/>
        <v>4275.3828666666668</v>
      </c>
      <c r="F53" s="273">
        <f t="shared" si="7"/>
        <v>4789.7864200000004</v>
      </c>
      <c r="G53" s="273">
        <f t="shared" si="7"/>
        <v>5111.4899733333341</v>
      </c>
      <c r="H53" s="273">
        <f t="shared" si="7"/>
        <v>5239.8135980952384</v>
      </c>
      <c r="I53" s="273">
        <f t="shared" si="7"/>
        <v>5348.1372228571427</v>
      </c>
      <c r="J53" s="273">
        <f t="shared" si="7"/>
        <v>5443.953742857143</v>
      </c>
      <c r="K53" s="273">
        <f t="shared" si="7"/>
        <v>5539.7702628571433</v>
      </c>
      <c r="L53" s="273">
        <f t="shared" si="7"/>
        <v>5635.5867828571436</v>
      </c>
      <c r="M53" s="273">
        <f t="shared" si="7"/>
        <v>5731.4033028571439</v>
      </c>
      <c r="N53" s="273">
        <f t="shared" si="7"/>
        <v>6024.5368538775519</v>
      </c>
      <c r="O53" s="273">
        <f t="shared" si="7"/>
        <v>6157.67040489796</v>
      </c>
      <c r="P53" s="273">
        <f t="shared" si="7"/>
        <v>6203.0039559183679</v>
      </c>
      <c r="Q53" s="273">
        <f t="shared" si="7"/>
        <v>6496.1375069387759</v>
      </c>
      <c r="R53" s="273">
        <f t="shared" si="7"/>
        <v>6789.271057959184</v>
      </c>
      <c r="S53" s="273">
        <f t="shared" si="7"/>
        <v>6882.404608979592</v>
      </c>
      <c r="T53" s="273">
        <f t="shared" si="7"/>
        <v>7175.5381600000001</v>
      </c>
      <c r="U53" s="273">
        <f t="shared" si="7"/>
        <v>7456.1448266666666</v>
      </c>
      <c r="V53" s="273">
        <f t="shared" si="7"/>
        <v>7306.451493333333</v>
      </c>
      <c r="W53" s="273">
        <f t="shared" si="7"/>
        <v>7387.0581599999996</v>
      </c>
      <c r="X53" s="273">
        <f t="shared" si="7"/>
        <v>7467.6648266666662</v>
      </c>
      <c r="Y53" s="273">
        <f t="shared" si="7"/>
        <v>7548.2714933333336</v>
      </c>
      <c r="Z53" s="273">
        <f t="shared" si="7"/>
        <v>7429.2781599999998</v>
      </c>
      <c r="AA53" s="274">
        <f t="shared" si="7"/>
        <v>7728.12716</v>
      </c>
    </row>
    <row r="54" spans="2:29" s="129" customFormat="1">
      <c r="B54" s="259" t="s">
        <v>103</v>
      </c>
      <c r="C54" s="260">
        <f>C30</f>
        <v>1958.9</v>
      </c>
      <c r="D54" s="260">
        <f t="shared" ref="D54:AA57" si="8">D30</f>
        <v>1912.7604333333334</v>
      </c>
      <c r="E54" s="260">
        <f t="shared" si="8"/>
        <v>1867.9528666666668</v>
      </c>
      <c r="F54" s="260">
        <f t="shared" si="8"/>
        <v>1823.1453000000001</v>
      </c>
      <c r="G54" s="260">
        <f t="shared" si="8"/>
        <v>1778.3377333333333</v>
      </c>
      <c r="H54" s="260">
        <f t="shared" si="8"/>
        <v>1719.9476666666667</v>
      </c>
      <c r="I54" s="260">
        <f t="shared" si="8"/>
        <v>1661.5576000000001</v>
      </c>
      <c r="J54" s="260">
        <f t="shared" si="8"/>
        <v>1532.2082</v>
      </c>
      <c r="K54" s="260">
        <f t="shared" si="8"/>
        <v>1402.8588000000002</v>
      </c>
      <c r="L54" s="260">
        <f t="shared" si="8"/>
        <v>1273.5094000000001</v>
      </c>
      <c r="M54" s="260">
        <f t="shared" si="8"/>
        <v>1144.1600000000003</v>
      </c>
      <c r="N54" s="260">
        <f t="shared" si="8"/>
        <v>980.70857142857176</v>
      </c>
      <c r="O54" s="260">
        <f t="shared" si="8"/>
        <v>817.25714285714321</v>
      </c>
      <c r="P54" s="260">
        <f t="shared" si="8"/>
        <v>653.80571428571466</v>
      </c>
      <c r="Q54" s="260">
        <f t="shared" si="8"/>
        <v>490.35428571428605</v>
      </c>
      <c r="R54" s="260">
        <f t="shared" si="8"/>
        <v>326.90285714285744</v>
      </c>
      <c r="S54" s="260">
        <f t="shared" si="8"/>
        <v>163.45142857142883</v>
      </c>
      <c r="T54" s="260">
        <f t="shared" si="8"/>
        <v>2.2737367544323206E-13</v>
      </c>
      <c r="U54" s="260">
        <f t="shared" si="8"/>
        <v>0</v>
      </c>
      <c r="V54" s="260">
        <f t="shared" si="8"/>
        <v>0</v>
      </c>
      <c r="W54" s="260">
        <f t="shared" si="8"/>
        <v>0</v>
      </c>
      <c r="X54" s="260">
        <f t="shared" si="8"/>
        <v>0</v>
      </c>
      <c r="Y54" s="260">
        <f t="shared" si="8"/>
        <v>0</v>
      </c>
      <c r="Z54" s="260">
        <f t="shared" si="8"/>
        <v>0</v>
      </c>
      <c r="AA54" s="261">
        <f t="shared" si="8"/>
        <v>0</v>
      </c>
    </row>
    <row r="55" spans="2:29" s="129" customFormat="1">
      <c r="B55" s="262" t="s">
        <v>260</v>
      </c>
      <c r="C55" s="260">
        <f t="shared" ref="C55:R57" si="9">C31</f>
        <v>950.2</v>
      </c>
      <c r="D55" s="260">
        <f t="shared" si="9"/>
        <v>950.2</v>
      </c>
      <c r="E55" s="260">
        <f t="shared" si="9"/>
        <v>950.2</v>
      </c>
      <c r="F55" s="260">
        <f t="shared" si="9"/>
        <v>950.2</v>
      </c>
      <c r="G55" s="260">
        <f t="shared" si="9"/>
        <v>950.2</v>
      </c>
      <c r="H55" s="260">
        <f t="shared" si="9"/>
        <v>950.2</v>
      </c>
      <c r="I55" s="260">
        <f t="shared" si="9"/>
        <v>950.2</v>
      </c>
      <c r="J55" s="260">
        <f t="shared" si="9"/>
        <v>950.2</v>
      </c>
      <c r="K55" s="260">
        <f t="shared" si="9"/>
        <v>950.2</v>
      </c>
      <c r="L55" s="260">
        <f t="shared" si="9"/>
        <v>950.2</v>
      </c>
      <c r="M55" s="260">
        <f t="shared" si="9"/>
        <v>950.2</v>
      </c>
      <c r="N55" s="260">
        <f t="shared" si="9"/>
        <v>950.2</v>
      </c>
      <c r="O55" s="260">
        <f t="shared" si="9"/>
        <v>950.2</v>
      </c>
      <c r="P55" s="260">
        <f t="shared" si="9"/>
        <v>950.2</v>
      </c>
      <c r="Q55" s="260">
        <f t="shared" si="9"/>
        <v>950.2</v>
      </c>
      <c r="R55" s="260">
        <f t="shared" si="9"/>
        <v>950.2</v>
      </c>
      <c r="S55" s="260">
        <f t="shared" si="8"/>
        <v>950.2</v>
      </c>
      <c r="T55" s="260">
        <f t="shared" si="8"/>
        <v>950.2</v>
      </c>
      <c r="U55" s="260">
        <f t="shared" si="8"/>
        <v>791.83333333333337</v>
      </c>
      <c r="V55" s="260">
        <f t="shared" si="8"/>
        <v>633.4666666666667</v>
      </c>
      <c r="W55" s="260">
        <f t="shared" si="8"/>
        <v>475.1</v>
      </c>
      <c r="X55" s="260">
        <f t="shared" si="8"/>
        <v>316.73333333333335</v>
      </c>
      <c r="Y55" s="260">
        <f t="shared" si="8"/>
        <v>158.36666666666667</v>
      </c>
      <c r="Z55" s="260">
        <f t="shared" si="8"/>
        <v>0</v>
      </c>
      <c r="AA55" s="261">
        <f t="shared" si="8"/>
        <v>0</v>
      </c>
    </row>
    <row r="56" spans="2:29" s="129" customFormat="1">
      <c r="B56" s="262" t="s">
        <v>261</v>
      </c>
      <c r="C56" s="260">
        <f t="shared" si="9"/>
        <v>284.53000000000003</v>
      </c>
      <c r="D56" s="260">
        <f t="shared" si="8"/>
        <v>429.53000000000003</v>
      </c>
      <c r="E56" s="260">
        <f t="shared" si="8"/>
        <v>614.53</v>
      </c>
      <c r="F56" s="260">
        <f t="shared" si="8"/>
        <v>767.04111999999986</v>
      </c>
      <c r="G56" s="260">
        <f t="shared" si="8"/>
        <v>919.55223999999998</v>
      </c>
      <c r="H56" s="260">
        <f t="shared" si="8"/>
        <v>919.55223999999998</v>
      </c>
      <c r="I56" s="260">
        <f t="shared" si="8"/>
        <v>919.55223999999998</v>
      </c>
      <c r="J56" s="260">
        <f t="shared" si="8"/>
        <v>919.55223999999998</v>
      </c>
      <c r="K56" s="260">
        <f t="shared" si="8"/>
        <v>919.55223999999998</v>
      </c>
      <c r="L56" s="260">
        <f t="shared" si="8"/>
        <v>919.55223999999998</v>
      </c>
      <c r="M56" s="260">
        <f t="shared" si="8"/>
        <v>919.55223999999998</v>
      </c>
      <c r="N56" s="260">
        <f t="shared" si="8"/>
        <v>919.55223999999998</v>
      </c>
      <c r="O56" s="260">
        <f t="shared" si="8"/>
        <v>919.55223999999998</v>
      </c>
      <c r="P56" s="260">
        <f t="shared" si="8"/>
        <v>919.55223999999998</v>
      </c>
      <c r="Q56" s="260">
        <f t="shared" si="8"/>
        <v>919.55223999999998</v>
      </c>
      <c r="R56" s="260">
        <f t="shared" si="8"/>
        <v>919.55223999999998</v>
      </c>
      <c r="S56" s="260">
        <f t="shared" si="8"/>
        <v>919.55223999999998</v>
      </c>
      <c r="T56" s="260">
        <f t="shared" si="8"/>
        <v>919.55223999999998</v>
      </c>
      <c r="U56" s="260">
        <f t="shared" si="8"/>
        <v>919.55223999999998</v>
      </c>
      <c r="V56" s="260">
        <f t="shared" si="8"/>
        <v>919.55223999999998</v>
      </c>
      <c r="W56" s="260">
        <f t="shared" si="8"/>
        <v>919.55223999999998</v>
      </c>
      <c r="X56" s="260">
        <f t="shared" si="8"/>
        <v>919.55223999999998</v>
      </c>
      <c r="Y56" s="260">
        <f t="shared" si="8"/>
        <v>919.55223999999998</v>
      </c>
      <c r="Z56" s="260">
        <f t="shared" si="8"/>
        <v>919.55223999999998</v>
      </c>
      <c r="AA56" s="261">
        <f t="shared" si="8"/>
        <v>766.29353333333336</v>
      </c>
    </row>
    <row r="57" spans="2:29" s="129" customFormat="1">
      <c r="B57" s="262" t="s">
        <v>145</v>
      </c>
      <c r="C57" s="260">
        <f t="shared" si="9"/>
        <v>0</v>
      </c>
      <c r="D57" s="260">
        <f t="shared" si="8"/>
        <v>0</v>
      </c>
      <c r="E57" s="260">
        <f t="shared" si="8"/>
        <v>0</v>
      </c>
      <c r="F57" s="260">
        <f t="shared" si="8"/>
        <v>0</v>
      </c>
      <c r="G57" s="260">
        <f t="shared" si="8"/>
        <v>0</v>
      </c>
      <c r="H57" s="260">
        <f t="shared" si="8"/>
        <v>166.71369142857139</v>
      </c>
      <c r="I57" s="260">
        <f t="shared" si="8"/>
        <v>333.42738285714279</v>
      </c>
      <c r="J57" s="260">
        <f t="shared" si="8"/>
        <v>558.59330285714282</v>
      </c>
      <c r="K57" s="260">
        <f t="shared" si="8"/>
        <v>783.75922285714273</v>
      </c>
      <c r="L57" s="260">
        <f t="shared" si="8"/>
        <v>1008.9251428571428</v>
      </c>
      <c r="M57" s="260">
        <f t="shared" si="8"/>
        <v>1234.0910628571426</v>
      </c>
      <c r="N57" s="260">
        <f t="shared" si="8"/>
        <v>1490.6760424489794</v>
      </c>
      <c r="O57" s="260">
        <f t="shared" si="8"/>
        <v>1747.2610220408162</v>
      </c>
      <c r="P57" s="260">
        <f t="shared" si="8"/>
        <v>2003.846001632653</v>
      </c>
      <c r="Q57" s="260">
        <f t="shared" si="8"/>
        <v>2260.4309812244896</v>
      </c>
      <c r="R57" s="260">
        <f t="shared" si="8"/>
        <v>2517.0159608163262</v>
      </c>
      <c r="S57" s="260">
        <f t="shared" si="8"/>
        <v>2773.6009404081628</v>
      </c>
      <c r="T57" s="260">
        <f t="shared" si="8"/>
        <v>3030.1859199999994</v>
      </c>
      <c r="U57" s="260">
        <f t="shared" si="8"/>
        <v>3269.1592533333328</v>
      </c>
      <c r="V57" s="260">
        <f t="shared" si="8"/>
        <v>3508.1325866666662</v>
      </c>
      <c r="W57" s="260">
        <f t="shared" si="8"/>
        <v>3747.1059199999995</v>
      </c>
      <c r="X57" s="260">
        <f t="shared" si="8"/>
        <v>3986.0792533333329</v>
      </c>
      <c r="Y57" s="260">
        <f t="shared" si="8"/>
        <v>4225.0525866666667</v>
      </c>
      <c r="Z57" s="260">
        <f t="shared" si="8"/>
        <v>4464.02592</v>
      </c>
      <c r="AA57" s="261">
        <f t="shared" si="8"/>
        <v>4716.1336266666667</v>
      </c>
    </row>
    <row r="58" spans="2:29" s="129" customFormat="1">
      <c r="B58" s="262" t="s">
        <v>83</v>
      </c>
      <c r="C58" s="260">
        <f>SUM(C54:C57)</f>
        <v>3193.6300000000006</v>
      </c>
      <c r="D58" s="260">
        <f t="shared" ref="D58:AA58" si="10">SUM(D54:D57)</f>
        <v>3292.4904333333338</v>
      </c>
      <c r="E58" s="260">
        <f t="shared" si="10"/>
        <v>3432.682866666667</v>
      </c>
      <c r="F58" s="260">
        <f t="shared" si="10"/>
        <v>3540.3864199999998</v>
      </c>
      <c r="G58" s="260">
        <f t="shared" si="10"/>
        <v>3648.0899733333335</v>
      </c>
      <c r="H58" s="260">
        <f t="shared" si="10"/>
        <v>3756.4135980952383</v>
      </c>
      <c r="I58" s="260">
        <f t="shared" si="10"/>
        <v>3864.7372228571426</v>
      </c>
      <c r="J58" s="260">
        <f t="shared" si="10"/>
        <v>3960.5537428571424</v>
      </c>
      <c r="K58" s="260">
        <f t="shared" si="10"/>
        <v>4056.3702628571427</v>
      </c>
      <c r="L58" s="260">
        <f t="shared" si="10"/>
        <v>4152.186782857143</v>
      </c>
      <c r="M58" s="260">
        <f t="shared" si="10"/>
        <v>4248.0033028571434</v>
      </c>
      <c r="N58" s="260">
        <f t="shared" si="10"/>
        <v>4341.1368538775514</v>
      </c>
      <c r="O58" s="260">
        <f t="shared" si="10"/>
        <v>4434.2704048979595</v>
      </c>
      <c r="P58" s="260">
        <f t="shared" si="10"/>
        <v>4527.4039559183675</v>
      </c>
      <c r="Q58" s="260">
        <f t="shared" si="10"/>
        <v>4620.5375069387756</v>
      </c>
      <c r="R58" s="260">
        <f t="shared" si="10"/>
        <v>4713.6710579591836</v>
      </c>
      <c r="S58" s="260">
        <f t="shared" si="10"/>
        <v>4806.8046089795916</v>
      </c>
      <c r="T58" s="260">
        <f t="shared" si="10"/>
        <v>4899.9381599999997</v>
      </c>
      <c r="U58" s="260">
        <f t="shared" si="10"/>
        <v>4980.5448266666663</v>
      </c>
      <c r="V58" s="260">
        <f t="shared" si="10"/>
        <v>5061.1514933333328</v>
      </c>
      <c r="W58" s="260">
        <f t="shared" si="10"/>
        <v>5141.7581599999994</v>
      </c>
      <c r="X58" s="260">
        <f t="shared" si="10"/>
        <v>5222.364826666666</v>
      </c>
      <c r="Y58" s="260">
        <f t="shared" si="10"/>
        <v>5302.9714933333335</v>
      </c>
      <c r="Z58" s="260">
        <f t="shared" si="10"/>
        <v>5383.57816</v>
      </c>
      <c r="AA58" s="261">
        <f t="shared" si="10"/>
        <v>5482.4271600000002</v>
      </c>
    </row>
    <row r="59" spans="2:29" s="129" customFormat="1">
      <c r="B59" s="262" t="s">
        <v>212</v>
      </c>
      <c r="C59" s="260">
        <f>C22</f>
        <v>73.8</v>
      </c>
      <c r="D59" s="260">
        <f t="shared" ref="D59:AA59" si="11">D22</f>
        <v>73.8</v>
      </c>
      <c r="E59" s="260">
        <f t="shared" si="11"/>
        <v>73.8</v>
      </c>
      <c r="F59" s="260">
        <f t="shared" si="11"/>
        <v>73.8</v>
      </c>
      <c r="G59" s="260">
        <f t="shared" si="11"/>
        <v>287.8</v>
      </c>
      <c r="H59" s="260">
        <f t="shared" si="11"/>
        <v>307.8</v>
      </c>
      <c r="I59" s="260">
        <f t="shared" si="11"/>
        <v>307.8</v>
      </c>
      <c r="J59" s="260">
        <f t="shared" si="11"/>
        <v>307.8</v>
      </c>
      <c r="K59" s="260">
        <f t="shared" si="11"/>
        <v>307.8</v>
      </c>
      <c r="L59" s="260">
        <f t="shared" si="11"/>
        <v>307.8</v>
      </c>
      <c r="M59" s="260">
        <f t="shared" si="11"/>
        <v>307.8</v>
      </c>
      <c r="N59" s="260">
        <f t="shared" si="11"/>
        <v>307.8</v>
      </c>
      <c r="O59" s="260">
        <f t="shared" si="11"/>
        <v>307.8</v>
      </c>
      <c r="P59" s="260">
        <f t="shared" si="11"/>
        <v>260</v>
      </c>
      <c r="Q59" s="260">
        <f t="shared" si="11"/>
        <v>260</v>
      </c>
      <c r="R59" s="260">
        <f t="shared" si="11"/>
        <v>260</v>
      </c>
      <c r="S59" s="260">
        <f t="shared" si="11"/>
        <v>260</v>
      </c>
      <c r="T59" s="260">
        <f t="shared" si="11"/>
        <v>260</v>
      </c>
      <c r="U59" s="260">
        <f t="shared" si="11"/>
        <v>260</v>
      </c>
      <c r="V59" s="260">
        <f t="shared" si="11"/>
        <v>239</v>
      </c>
      <c r="W59" s="260">
        <f t="shared" si="11"/>
        <v>239</v>
      </c>
      <c r="X59" s="260">
        <f t="shared" si="11"/>
        <v>239</v>
      </c>
      <c r="Y59" s="260">
        <f t="shared" si="11"/>
        <v>239</v>
      </c>
      <c r="Z59" s="260">
        <f t="shared" si="11"/>
        <v>239</v>
      </c>
      <c r="AA59" s="261">
        <f t="shared" si="11"/>
        <v>239</v>
      </c>
    </row>
    <row r="60" spans="2:29" s="129" customFormat="1">
      <c r="B60" s="264" t="s">
        <v>77</v>
      </c>
      <c r="C60" s="267">
        <f>C8+C10+C12+C13+C15+C16+C17+C19</f>
        <v>768.90000000000009</v>
      </c>
      <c r="D60" s="267">
        <f t="shared" ref="D60:AA60" si="12">D8+D10+D12+D13+D15+D16+D17+D19</f>
        <v>768.90000000000009</v>
      </c>
      <c r="E60" s="267">
        <f t="shared" si="12"/>
        <v>768.90000000000009</v>
      </c>
      <c r="F60" s="267">
        <f t="shared" si="12"/>
        <v>1175.6000000000001</v>
      </c>
      <c r="G60" s="267">
        <f t="shared" si="12"/>
        <v>1175.6000000000001</v>
      </c>
      <c r="H60" s="267">
        <f t="shared" si="12"/>
        <v>1175.6000000000001</v>
      </c>
      <c r="I60" s="267">
        <f t="shared" si="12"/>
        <v>1175.6000000000001</v>
      </c>
      <c r="J60" s="267">
        <f t="shared" si="12"/>
        <v>1175.6000000000001</v>
      </c>
      <c r="K60" s="267">
        <f t="shared" si="12"/>
        <v>1175.6000000000001</v>
      </c>
      <c r="L60" s="267">
        <f t="shared" si="12"/>
        <v>1175.6000000000001</v>
      </c>
      <c r="M60" s="267">
        <f t="shared" si="12"/>
        <v>1175.6000000000001</v>
      </c>
      <c r="N60" s="267">
        <f t="shared" si="12"/>
        <v>1375.6000000000001</v>
      </c>
      <c r="O60" s="267">
        <f t="shared" si="12"/>
        <v>1415.6000000000001</v>
      </c>
      <c r="P60" s="267">
        <f t="shared" si="12"/>
        <v>1415.6000000000001</v>
      </c>
      <c r="Q60" s="267">
        <f t="shared" si="12"/>
        <v>1615.6000000000001</v>
      </c>
      <c r="R60" s="267">
        <f t="shared" si="12"/>
        <v>1815.6000000000001</v>
      </c>
      <c r="S60" s="267">
        <f t="shared" si="12"/>
        <v>1815.6000000000001</v>
      </c>
      <c r="T60" s="267">
        <f t="shared" si="12"/>
        <v>2015.6000000000001</v>
      </c>
      <c r="U60" s="267">
        <f t="shared" si="12"/>
        <v>2215.6000000000004</v>
      </c>
      <c r="V60" s="267">
        <f t="shared" si="12"/>
        <v>2006.3</v>
      </c>
      <c r="W60" s="267">
        <f t="shared" si="12"/>
        <v>2006.3</v>
      </c>
      <c r="X60" s="267">
        <f t="shared" si="12"/>
        <v>2006.3</v>
      </c>
      <c r="Y60" s="267">
        <f t="shared" si="12"/>
        <v>2006.3</v>
      </c>
      <c r="Z60" s="267">
        <f t="shared" si="12"/>
        <v>1806.7</v>
      </c>
      <c r="AA60" s="268">
        <f t="shared" si="12"/>
        <v>2006.7</v>
      </c>
    </row>
    <row r="61" spans="2:29" s="129" customFormat="1">
      <c r="B61" s="272" t="s">
        <v>10</v>
      </c>
      <c r="C61" s="273">
        <f>SUM(C66:C68)</f>
        <v>5080.18</v>
      </c>
      <c r="D61" s="273">
        <f t="shared" ref="D61:AA61" si="13">SUM(D66:D68)</f>
        <v>5217.5791000000008</v>
      </c>
      <c r="E61" s="273">
        <f t="shared" si="13"/>
        <v>5361.9402000000009</v>
      </c>
      <c r="F61" s="273">
        <f t="shared" si="13"/>
        <v>5893.6401999999998</v>
      </c>
      <c r="G61" s="273">
        <f t="shared" si="13"/>
        <v>6618.6402000000016</v>
      </c>
      <c r="H61" s="273">
        <f t="shared" si="13"/>
        <v>6988.6402000000016</v>
      </c>
      <c r="I61" s="273">
        <f t="shared" si="13"/>
        <v>7313.6401999999998</v>
      </c>
      <c r="J61" s="273">
        <f t="shared" si="13"/>
        <v>7438.6401999999998</v>
      </c>
      <c r="K61" s="273">
        <f t="shared" si="13"/>
        <v>7563.6401999999998</v>
      </c>
      <c r="L61" s="273">
        <f t="shared" si="13"/>
        <v>7688.6402000000016</v>
      </c>
      <c r="M61" s="273">
        <f t="shared" si="13"/>
        <v>7773.6402000000016</v>
      </c>
      <c r="N61" s="273">
        <f t="shared" si="13"/>
        <v>8098.6402000000016</v>
      </c>
      <c r="O61" s="273">
        <f t="shared" si="13"/>
        <v>8263.6402000000016</v>
      </c>
      <c r="P61" s="273">
        <f t="shared" si="13"/>
        <v>8175.2402000000002</v>
      </c>
      <c r="Q61" s="273">
        <f t="shared" si="13"/>
        <v>8500.2402000000002</v>
      </c>
      <c r="R61" s="273">
        <f t="shared" si="13"/>
        <v>8825.2402000000002</v>
      </c>
      <c r="S61" s="273">
        <f t="shared" si="13"/>
        <v>8950.2402000000002</v>
      </c>
      <c r="T61" s="273">
        <f t="shared" si="13"/>
        <v>9275.2402000000002</v>
      </c>
      <c r="U61" s="273">
        <f t="shared" si="13"/>
        <v>9600.2402000000002</v>
      </c>
      <c r="V61" s="273">
        <f t="shared" si="13"/>
        <v>9487.7402000000002</v>
      </c>
      <c r="W61" s="273">
        <f t="shared" si="13"/>
        <v>9605.7402000000002</v>
      </c>
      <c r="X61" s="273">
        <f t="shared" si="13"/>
        <v>9927.140199999998</v>
      </c>
      <c r="Y61" s="273">
        <f t="shared" si="13"/>
        <v>10052.1402</v>
      </c>
      <c r="Z61" s="273">
        <f t="shared" si="13"/>
        <v>9977.5401999999995</v>
      </c>
      <c r="AA61" s="274">
        <f t="shared" si="13"/>
        <v>10302.540199999999</v>
      </c>
    </row>
    <row r="62" spans="2:29">
      <c r="B62" s="262" t="s">
        <v>103</v>
      </c>
      <c r="C62" s="47">
        <f t="shared" ref="C62:AA62" si="14">C46+C54</f>
        <v>2427.3000000000002</v>
      </c>
      <c r="D62" s="47">
        <f t="shared" si="14"/>
        <v>2359.6491000000001</v>
      </c>
      <c r="E62" s="47">
        <f t="shared" si="14"/>
        <v>2294.0102000000002</v>
      </c>
      <c r="F62" s="47">
        <f t="shared" si="14"/>
        <v>2228.3713000000002</v>
      </c>
      <c r="G62" s="47">
        <f t="shared" si="14"/>
        <v>2162.7323999999999</v>
      </c>
      <c r="H62" s="47">
        <f t="shared" si="14"/>
        <v>2079.3402857142855</v>
      </c>
      <c r="I62" s="47">
        <f t="shared" si="14"/>
        <v>1995.9481714285716</v>
      </c>
      <c r="J62" s="47">
        <f t="shared" si="14"/>
        <v>1839.4907714285714</v>
      </c>
      <c r="K62" s="47">
        <f t="shared" si="14"/>
        <v>1683.0333714285716</v>
      </c>
      <c r="L62" s="47">
        <f t="shared" si="14"/>
        <v>1526.5759714285716</v>
      </c>
      <c r="M62" s="47">
        <f t="shared" si="14"/>
        <v>1370.1185714285718</v>
      </c>
      <c r="N62" s="47">
        <f t="shared" si="14"/>
        <v>1174.3873469387759</v>
      </c>
      <c r="O62" s="47">
        <f t="shared" si="14"/>
        <v>978.65612244897989</v>
      </c>
      <c r="P62" s="47">
        <f t="shared" si="14"/>
        <v>782.92489795918402</v>
      </c>
      <c r="Q62" s="47">
        <f t="shared" si="14"/>
        <v>587.19367346938805</v>
      </c>
      <c r="R62" s="47">
        <f t="shared" si="14"/>
        <v>391.46244897959207</v>
      </c>
      <c r="S62" s="47">
        <f t="shared" si="14"/>
        <v>195.73122448979615</v>
      </c>
      <c r="T62" s="47">
        <f t="shared" si="14"/>
        <v>1.7053025658242404E-13</v>
      </c>
      <c r="U62" s="47">
        <f t="shared" si="14"/>
        <v>0</v>
      </c>
      <c r="V62" s="47">
        <f t="shared" si="14"/>
        <v>0</v>
      </c>
      <c r="W62" s="47">
        <f t="shared" si="14"/>
        <v>0</v>
      </c>
      <c r="X62" s="47">
        <f t="shared" si="14"/>
        <v>0</v>
      </c>
      <c r="Y62" s="47">
        <f t="shared" si="14"/>
        <v>0</v>
      </c>
      <c r="Z62" s="47">
        <f t="shared" si="14"/>
        <v>0</v>
      </c>
      <c r="AA62" s="263">
        <f t="shared" si="14"/>
        <v>0</v>
      </c>
    </row>
    <row r="63" spans="2:29">
      <c r="B63" s="262" t="s">
        <v>260</v>
      </c>
      <c r="C63" s="47">
        <f t="shared" ref="C63:AA63" si="15">C47+C55</f>
        <v>1042.3</v>
      </c>
      <c r="D63" s="47">
        <f t="shared" si="15"/>
        <v>1042.3</v>
      </c>
      <c r="E63" s="47">
        <f t="shared" si="15"/>
        <v>1042.3</v>
      </c>
      <c r="F63" s="47">
        <f t="shared" si="15"/>
        <v>1042.3</v>
      </c>
      <c r="G63" s="47">
        <f t="shared" si="15"/>
        <v>1042.3</v>
      </c>
      <c r="H63" s="47">
        <f t="shared" si="15"/>
        <v>1042.3</v>
      </c>
      <c r="I63" s="47">
        <f t="shared" si="15"/>
        <v>1042.3</v>
      </c>
      <c r="J63" s="47">
        <f t="shared" si="15"/>
        <v>1042.3</v>
      </c>
      <c r="K63" s="47">
        <f t="shared" si="15"/>
        <v>1042.3</v>
      </c>
      <c r="L63" s="47">
        <f t="shared" si="15"/>
        <v>1042.3</v>
      </c>
      <c r="M63" s="47">
        <f t="shared" si="15"/>
        <v>1042.3</v>
      </c>
      <c r="N63" s="47">
        <f t="shared" si="15"/>
        <v>1042.3</v>
      </c>
      <c r="O63" s="47">
        <f t="shared" si="15"/>
        <v>1042.3</v>
      </c>
      <c r="P63" s="47">
        <f t="shared" si="15"/>
        <v>1042.3</v>
      </c>
      <c r="Q63" s="47">
        <f t="shared" si="15"/>
        <v>1042.3</v>
      </c>
      <c r="R63" s="47">
        <f t="shared" si="15"/>
        <v>1042.3</v>
      </c>
      <c r="S63" s="47">
        <f t="shared" si="15"/>
        <v>1042.3</v>
      </c>
      <c r="T63" s="47">
        <f t="shared" si="15"/>
        <v>1042.3</v>
      </c>
      <c r="U63" s="47">
        <f t="shared" si="15"/>
        <v>868.58333333333337</v>
      </c>
      <c r="V63" s="47">
        <f t="shared" si="15"/>
        <v>694.86666666666667</v>
      </c>
      <c r="W63" s="47">
        <f t="shared" si="15"/>
        <v>521.15</v>
      </c>
      <c r="X63" s="47">
        <f t="shared" si="15"/>
        <v>347.43333333333334</v>
      </c>
      <c r="Y63" s="47">
        <f t="shared" si="15"/>
        <v>173.71666666666667</v>
      </c>
      <c r="Z63" s="47">
        <f t="shared" si="15"/>
        <v>0</v>
      </c>
      <c r="AA63" s="263">
        <f t="shared" si="15"/>
        <v>0</v>
      </c>
    </row>
    <row r="64" spans="2:29">
      <c r="B64" s="262" t="s">
        <v>261</v>
      </c>
      <c r="C64" s="47">
        <f t="shared" ref="C64:AA64" si="16">C48+C56</f>
        <v>339.53000000000003</v>
      </c>
      <c r="D64" s="47">
        <f t="shared" si="16"/>
        <v>549.53</v>
      </c>
      <c r="E64" s="47">
        <f t="shared" si="16"/>
        <v>759.53</v>
      </c>
      <c r="F64" s="47">
        <f t="shared" si="16"/>
        <v>950.16889999999989</v>
      </c>
      <c r="G64" s="47">
        <f t="shared" si="16"/>
        <v>1140.8078</v>
      </c>
      <c r="H64" s="47">
        <f t="shared" si="16"/>
        <v>1140.8078</v>
      </c>
      <c r="I64" s="47">
        <f t="shared" si="16"/>
        <v>1140.8078</v>
      </c>
      <c r="J64" s="47">
        <f t="shared" si="16"/>
        <v>1140.8078</v>
      </c>
      <c r="K64" s="47">
        <f t="shared" si="16"/>
        <v>1140.8078</v>
      </c>
      <c r="L64" s="47">
        <f t="shared" si="16"/>
        <v>1140.8078</v>
      </c>
      <c r="M64" s="47">
        <f t="shared" si="16"/>
        <v>1140.8078</v>
      </c>
      <c r="N64" s="47">
        <f t="shared" si="16"/>
        <v>1140.8078</v>
      </c>
      <c r="O64" s="47">
        <f t="shared" si="16"/>
        <v>1140.8078</v>
      </c>
      <c r="P64" s="47">
        <f t="shared" si="16"/>
        <v>1140.8078</v>
      </c>
      <c r="Q64" s="47">
        <f t="shared" si="16"/>
        <v>1140.8078</v>
      </c>
      <c r="R64" s="47">
        <f t="shared" si="16"/>
        <v>1140.8078</v>
      </c>
      <c r="S64" s="47">
        <f t="shared" si="16"/>
        <v>1140.8078</v>
      </c>
      <c r="T64" s="47">
        <f t="shared" si="16"/>
        <v>1140.8078</v>
      </c>
      <c r="U64" s="47">
        <f t="shared" si="16"/>
        <v>1140.8078</v>
      </c>
      <c r="V64" s="47">
        <f t="shared" si="16"/>
        <v>1140.8078</v>
      </c>
      <c r="W64" s="47">
        <f t="shared" si="16"/>
        <v>1140.8078</v>
      </c>
      <c r="X64" s="47">
        <f t="shared" si="16"/>
        <v>1140.8078</v>
      </c>
      <c r="Y64" s="47">
        <f t="shared" si="16"/>
        <v>1140.8078</v>
      </c>
      <c r="Z64" s="47">
        <f t="shared" si="16"/>
        <v>1140.8078</v>
      </c>
      <c r="AA64" s="263">
        <f t="shared" si="16"/>
        <v>950.6731666666667</v>
      </c>
    </row>
    <row r="65" spans="2:27">
      <c r="B65" s="262" t="s">
        <v>145</v>
      </c>
      <c r="C65" s="47">
        <f t="shared" ref="C65:AA65" si="17">C49+C57</f>
        <v>0</v>
      </c>
      <c r="D65" s="47">
        <f t="shared" si="17"/>
        <v>0</v>
      </c>
      <c r="E65" s="47">
        <f t="shared" si="17"/>
        <v>0</v>
      </c>
      <c r="F65" s="47">
        <f t="shared" si="17"/>
        <v>0</v>
      </c>
      <c r="G65" s="47">
        <f t="shared" si="17"/>
        <v>0</v>
      </c>
      <c r="H65" s="47">
        <f t="shared" si="17"/>
        <v>208.39211428571423</v>
      </c>
      <c r="I65" s="47">
        <f t="shared" si="17"/>
        <v>416.78422857142846</v>
      </c>
      <c r="J65" s="47">
        <f t="shared" si="17"/>
        <v>698.24162857142846</v>
      </c>
      <c r="K65" s="47">
        <f t="shared" si="17"/>
        <v>979.69902857142836</v>
      </c>
      <c r="L65" s="47">
        <f t="shared" si="17"/>
        <v>1261.1564285714285</v>
      </c>
      <c r="M65" s="47">
        <f t="shared" si="17"/>
        <v>1542.6138285714283</v>
      </c>
      <c r="N65" s="47">
        <f t="shared" si="17"/>
        <v>1863.345053061224</v>
      </c>
      <c r="O65" s="47">
        <f t="shared" si="17"/>
        <v>2184.0762775510202</v>
      </c>
      <c r="P65" s="47">
        <f t="shared" si="17"/>
        <v>2504.807502040816</v>
      </c>
      <c r="Q65" s="47">
        <f t="shared" si="17"/>
        <v>2825.5387265306117</v>
      </c>
      <c r="R65" s="47">
        <f t="shared" si="17"/>
        <v>3146.2699510204075</v>
      </c>
      <c r="S65" s="47">
        <f t="shared" si="17"/>
        <v>3467.0011755102032</v>
      </c>
      <c r="T65" s="47">
        <f t="shared" si="17"/>
        <v>3787.732399999999</v>
      </c>
      <c r="U65" s="47">
        <f t="shared" si="17"/>
        <v>4086.4490666666657</v>
      </c>
      <c r="V65" s="47">
        <f t="shared" si="17"/>
        <v>4385.1657333333324</v>
      </c>
      <c r="W65" s="47">
        <f t="shared" si="17"/>
        <v>4683.8823999999995</v>
      </c>
      <c r="X65" s="47">
        <f t="shared" si="17"/>
        <v>4982.5990666666657</v>
      </c>
      <c r="Y65" s="47">
        <f t="shared" si="17"/>
        <v>5281.3157333333329</v>
      </c>
      <c r="Z65" s="47">
        <f t="shared" si="17"/>
        <v>5580.0324000000001</v>
      </c>
      <c r="AA65" s="263">
        <f t="shared" si="17"/>
        <v>5895.1670333333332</v>
      </c>
    </row>
    <row r="66" spans="2:27">
      <c r="B66" s="262" t="s">
        <v>83</v>
      </c>
      <c r="C66" s="47">
        <f t="shared" ref="C66:AA66" si="18">C50+C58</f>
        <v>3809.1300000000006</v>
      </c>
      <c r="D66" s="47">
        <f t="shared" si="18"/>
        <v>3951.4791000000005</v>
      </c>
      <c r="E66" s="47">
        <f t="shared" si="18"/>
        <v>4095.8402000000006</v>
      </c>
      <c r="F66" s="47">
        <f t="shared" si="18"/>
        <v>4220.8401999999996</v>
      </c>
      <c r="G66" s="47">
        <f t="shared" si="18"/>
        <v>4345.8402000000006</v>
      </c>
      <c r="H66" s="47">
        <f t="shared" si="18"/>
        <v>4470.8402000000006</v>
      </c>
      <c r="I66" s="47">
        <f t="shared" si="18"/>
        <v>4595.8401999999996</v>
      </c>
      <c r="J66" s="47">
        <f t="shared" si="18"/>
        <v>4720.8401999999996</v>
      </c>
      <c r="K66" s="47">
        <f t="shared" si="18"/>
        <v>4845.8401999999996</v>
      </c>
      <c r="L66" s="47">
        <f t="shared" si="18"/>
        <v>4970.8402000000006</v>
      </c>
      <c r="M66" s="47">
        <f t="shared" si="18"/>
        <v>5095.8402000000006</v>
      </c>
      <c r="N66" s="47">
        <f t="shared" si="18"/>
        <v>5220.8402000000006</v>
      </c>
      <c r="O66" s="47">
        <f t="shared" si="18"/>
        <v>5345.8402000000006</v>
      </c>
      <c r="P66" s="47">
        <f t="shared" si="18"/>
        <v>5470.8401999999996</v>
      </c>
      <c r="Q66" s="47">
        <f t="shared" si="18"/>
        <v>5595.8401999999996</v>
      </c>
      <c r="R66" s="47">
        <f t="shared" si="18"/>
        <v>5720.8401999999996</v>
      </c>
      <c r="S66" s="47">
        <f t="shared" si="18"/>
        <v>5845.8401999999996</v>
      </c>
      <c r="T66" s="47">
        <f t="shared" si="18"/>
        <v>5970.8401999999987</v>
      </c>
      <c r="U66" s="47">
        <f t="shared" si="18"/>
        <v>6095.8401999999987</v>
      </c>
      <c r="V66" s="47">
        <f t="shared" si="18"/>
        <v>6220.8401999999987</v>
      </c>
      <c r="W66" s="47">
        <f t="shared" si="18"/>
        <v>6345.8401999999987</v>
      </c>
      <c r="X66" s="47">
        <f t="shared" si="18"/>
        <v>6470.8401999999987</v>
      </c>
      <c r="Y66" s="47">
        <f t="shared" si="18"/>
        <v>6595.8401999999996</v>
      </c>
      <c r="Z66" s="47">
        <f t="shared" si="18"/>
        <v>6720.8401999999996</v>
      </c>
      <c r="AA66" s="263">
        <f t="shared" si="18"/>
        <v>6845.8401999999996</v>
      </c>
    </row>
    <row r="67" spans="2:27">
      <c r="B67" s="262" t="s">
        <v>212</v>
      </c>
      <c r="C67" s="47">
        <f t="shared" ref="C67:AA67" si="19">C51+C59</f>
        <v>129.55000000000001</v>
      </c>
      <c r="D67" s="47">
        <f t="shared" si="19"/>
        <v>124.6</v>
      </c>
      <c r="E67" s="47">
        <f t="shared" si="19"/>
        <v>124.6</v>
      </c>
      <c r="F67" s="47">
        <f t="shared" si="19"/>
        <v>124.6</v>
      </c>
      <c r="G67" s="47">
        <f t="shared" si="19"/>
        <v>524.6</v>
      </c>
      <c r="H67" s="47">
        <f t="shared" si="19"/>
        <v>569.6</v>
      </c>
      <c r="I67" s="47">
        <f t="shared" si="19"/>
        <v>569.6</v>
      </c>
      <c r="J67" s="47">
        <f t="shared" si="19"/>
        <v>569.6</v>
      </c>
      <c r="K67" s="47">
        <f t="shared" si="19"/>
        <v>569.6</v>
      </c>
      <c r="L67" s="47">
        <f t="shared" si="19"/>
        <v>569.6</v>
      </c>
      <c r="M67" s="47">
        <f t="shared" si="19"/>
        <v>529.6</v>
      </c>
      <c r="N67" s="47">
        <f t="shared" si="19"/>
        <v>529.6</v>
      </c>
      <c r="O67" s="47">
        <f t="shared" si="19"/>
        <v>529.6</v>
      </c>
      <c r="P67" s="47">
        <f t="shared" si="19"/>
        <v>481.8</v>
      </c>
      <c r="Q67" s="47">
        <f t="shared" si="19"/>
        <v>481.8</v>
      </c>
      <c r="R67" s="47">
        <f t="shared" si="19"/>
        <v>481.8</v>
      </c>
      <c r="S67" s="47">
        <f t="shared" si="19"/>
        <v>481.8</v>
      </c>
      <c r="T67" s="47">
        <f t="shared" si="19"/>
        <v>481.8</v>
      </c>
      <c r="U67" s="47">
        <f t="shared" si="19"/>
        <v>481.8</v>
      </c>
      <c r="V67" s="47">
        <f t="shared" si="19"/>
        <v>453.6</v>
      </c>
      <c r="W67" s="47">
        <f t="shared" si="19"/>
        <v>453.6</v>
      </c>
      <c r="X67" s="47">
        <f t="shared" si="19"/>
        <v>450</v>
      </c>
      <c r="Y67" s="47">
        <f t="shared" si="19"/>
        <v>450</v>
      </c>
      <c r="Z67" s="47">
        <f t="shared" si="19"/>
        <v>450</v>
      </c>
      <c r="AA67" s="263">
        <f t="shared" si="19"/>
        <v>450</v>
      </c>
    </row>
    <row r="68" spans="2:27">
      <c r="B68" s="264" t="s">
        <v>77</v>
      </c>
      <c r="C68" s="265">
        <f t="shared" ref="C68:AA68" si="20">C52+C60</f>
        <v>1141.5</v>
      </c>
      <c r="D68" s="265">
        <f t="shared" si="20"/>
        <v>1141.5</v>
      </c>
      <c r="E68" s="265">
        <f t="shared" si="20"/>
        <v>1141.5</v>
      </c>
      <c r="F68" s="265">
        <f t="shared" si="20"/>
        <v>1548.2000000000003</v>
      </c>
      <c r="G68" s="265">
        <f t="shared" si="20"/>
        <v>1748.2000000000003</v>
      </c>
      <c r="H68" s="265">
        <f t="shared" si="20"/>
        <v>1948.2000000000003</v>
      </c>
      <c r="I68" s="265">
        <f t="shared" si="20"/>
        <v>2148.2000000000003</v>
      </c>
      <c r="J68" s="265">
        <f t="shared" si="20"/>
        <v>2148.2000000000003</v>
      </c>
      <c r="K68" s="265">
        <f t="shared" si="20"/>
        <v>2148.2000000000003</v>
      </c>
      <c r="L68" s="265">
        <f t="shared" si="20"/>
        <v>2148.2000000000003</v>
      </c>
      <c r="M68" s="265">
        <f t="shared" si="20"/>
        <v>2148.2000000000003</v>
      </c>
      <c r="N68" s="265">
        <f t="shared" si="20"/>
        <v>2348.2000000000003</v>
      </c>
      <c r="O68" s="265">
        <f t="shared" si="20"/>
        <v>2388.2000000000003</v>
      </c>
      <c r="P68" s="265">
        <f t="shared" si="20"/>
        <v>2222.6000000000004</v>
      </c>
      <c r="Q68" s="265">
        <f t="shared" si="20"/>
        <v>2422.6000000000004</v>
      </c>
      <c r="R68" s="265">
        <f t="shared" si="20"/>
        <v>2622.6000000000004</v>
      </c>
      <c r="S68" s="265">
        <f t="shared" si="20"/>
        <v>2622.6000000000004</v>
      </c>
      <c r="T68" s="265">
        <f t="shared" si="20"/>
        <v>2822.6000000000004</v>
      </c>
      <c r="U68" s="265">
        <f t="shared" si="20"/>
        <v>3022.6000000000004</v>
      </c>
      <c r="V68" s="265">
        <f t="shared" si="20"/>
        <v>2813.3</v>
      </c>
      <c r="W68" s="265">
        <f t="shared" si="20"/>
        <v>2806.3</v>
      </c>
      <c r="X68" s="265">
        <f t="shared" si="20"/>
        <v>3006.3</v>
      </c>
      <c r="Y68" s="265">
        <f t="shared" si="20"/>
        <v>3006.3</v>
      </c>
      <c r="Z68" s="265">
        <f t="shared" si="20"/>
        <v>2806.7</v>
      </c>
      <c r="AA68" s="266">
        <f t="shared" si="20"/>
        <v>3006.7</v>
      </c>
    </row>
    <row r="69" spans="2:27" s="129" customFormat="1">
      <c r="B69" s="272" t="s">
        <v>162</v>
      </c>
      <c r="C69" s="273">
        <f>SUM(C70:C72)</f>
        <v>5041.24</v>
      </c>
      <c r="D69" s="273">
        <f t="shared" ref="D69:V69" si="21">SUM(D70:D72)</f>
        <v>5190.8895000000002</v>
      </c>
      <c r="E69" s="273">
        <f t="shared" si="21"/>
        <v>5340.8895000000002</v>
      </c>
      <c r="F69" s="273">
        <f t="shared" si="21"/>
        <v>5540.8895000000002</v>
      </c>
      <c r="G69" s="273">
        <f t="shared" si="21"/>
        <v>6340.8895000000002</v>
      </c>
      <c r="H69" s="273">
        <f t="shared" si="21"/>
        <v>6590.8895000000002</v>
      </c>
      <c r="I69" s="273">
        <f t="shared" si="21"/>
        <v>6840.8895000000002</v>
      </c>
      <c r="J69" s="273">
        <f t="shared" si="21"/>
        <v>6890.8895000000002</v>
      </c>
      <c r="K69" s="273">
        <f t="shared" si="21"/>
        <v>6940.8895000000002</v>
      </c>
      <c r="L69" s="273">
        <f t="shared" si="21"/>
        <v>6990.8895000000002</v>
      </c>
      <c r="M69" s="273">
        <f t="shared" si="21"/>
        <v>7240.8895000000002</v>
      </c>
      <c r="N69" s="273">
        <f t="shared" si="21"/>
        <v>7490.8895000000002</v>
      </c>
      <c r="O69" s="273">
        <f t="shared" si="21"/>
        <v>7540.8895000000011</v>
      </c>
      <c r="P69" s="273">
        <f t="shared" si="21"/>
        <v>7790.8895000000002</v>
      </c>
      <c r="Q69" s="273">
        <f t="shared" si="21"/>
        <v>8040.8895000000002</v>
      </c>
      <c r="R69" s="273">
        <f t="shared" si="21"/>
        <v>8090.8895000000002</v>
      </c>
      <c r="S69" s="273">
        <f t="shared" si="21"/>
        <v>8097.2395000000006</v>
      </c>
      <c r="T69" s="273">
        <f t="shared" si="21"/>
        <v>8103.5895</v>
      </c>
      <c r="U69" s="273">
        <f t="shared" si="21"/>
        <v>8109.9395000000004</v>
      </c>
      <c r="V69" s="273">
        <f t="shared" si="21"/>
        <v>8116.2894999999999</v>
      </c>
      <c r="W69" s="275"/>
      <c r="X69" s="275"/>
      <c r="Y69" s="275"/>
      <c r="Z69" s="275"/>
      <c r="AA69" s="276"/>
    </row>
    <row r="70" spans="2:27">
      <c r="B70" s="262" t="s">
        <v>262</v>
      </c>
      <c r="C70" s="47">
        <v>3770.19</v>
      </c>
      <c r="D70" s="47">
        <v>3919.8395</v>
      </c>
      <c r="E70" s="47">
        <v>3969.8395</v>
      </c>
      <c r="F70" s="47">
        <v>4019.8395000000005</v>
      </c>
      <c r="G70" s="47">
        <v>4069.8395</v>
      </c>
      <c r="H70" s="47">
        <v>4119.8395</v>
      </c>
      <c r="I70" s="47">
        <v>4169.8395</v>
      </c>
      <c r="J70" s="47">
        <v>4219.8395</v>
      </c>
      <c r="K70" s="47">
        <v>4269.8395</v>
      </c>
      <c r="L70" s="47">
        <v>4319.8395</v>
      </c>
      <c r="M70" s="47">
        <v>4369.8395</v>
      </c>
      <c r="N70" s="47">
        <v>4419.8395</v>
      </c>
      <c r="O70" s="47">
        <v>4469.839500000001</v>
      </c>
      <c r="P70" s="47">
        <v>4519.8395</v>
      </c>
      <c r="Q70" s="47">
        <v>4569.8395</v>
      </c>
      <c r="R70" s="47">
        <v>4619.8395</v>
      </c>
      <c r="S70" s="47">
        <v>4626.1895000000004</v>
      </c>
      <c r="T70" s="47">
        <v>4632.5394999999999</v>
      </c>
      <c r="U70" s="47">
        <v>4638.8895000000002</v>
      </c>
      <c r="V70" s="47">
        <v>4645.2394999999997</v>
      </c>
      <c r="W70" s="47"/>
      <c r="X70" s="47"/>
      <c r="Y70" s="47"/>
      <c r="Z70" s="47"/>
      <c r="AA70" s="263"/>
    </row>
    <row r="71" spans="2:27">
      <c r="B71" s="262" t="s">
        <v>263</v>
      </c>
      <c r="C71" s="47">
        <v>129.55000000000001</v>
      </c>
      <c r="D71" s="47">
        <v>129.55000000000001</v>
      </c>
      <c r="E71" s="47">
        <v>129.55000000000001</v>
      </c>
      <c r="F71" s="47">
        <v>129.55000000000001</v>
      </c>
      <c r="G71" s="47">
        <v>529.54999999999995</v>
      </c>
      <c r="H71" s="47">
        <v>529.54999999999995</v>
      </c>
      <c r="I71" s="47">
        <v>529.54999999999995</v>
      </c>
      <c r="J71" s="47">
        <v>529.54999999999995</v>
      </c>
      <c r="K71" s="47">
        <v>529.54999999999995</v>
      </c>
      <c r="L71" s="47">
        <v>529.54999999999995</v>
      </c>
      <c r="M71" s="47">
        <v>529.54999999999995</v>
      </c>
      <c r="N71" s="47">
        <v>529.54999999999995</v>
      </c>
      <c r="O71" s="47">
        <v>529.54999999999995</v>
      </c>
      <c r="P71" s="47">
        <v>529.54999999999995</v>
      </c>
      <c r="Q71" s="47">
        <v>529.54999999999995</v>
      </c>
      <c r="R71" s="47">
        <v>529.54999999999995</v>
      </c>
      <c r="S71" s="47">
        <v>529.54999999999995</v>
      </c>
      <c r="T71" s="47">
        <v>529.54999999999995</v>
      </c>
      <c r="U71" s="47">
        <v>529.54999999999995</v>
      </c>
      <c r="V71" s="47">
        <v>529.54999999999995</v>
      </c>
      <c r="W71" s="47"/>
      <c r="X71" s="47"/>
      <c r="Y71" s="47"/>
      <c r="Z71" s="47"/>
      <c r="AA71" s="263"/>
    </row>
    <row r="72" spans="2:27">
      <c r="B72" s="264" t="s">
        <v>264</v>
      </c>
      <c r="C72" s="265">
        <v>1141.5</v>
      </c>
      <c r="D72" s="265">
        <v>1141.5</v>
      </c>
      <c r="E72" s="265">
        <v>1241.5</v>
      </c>
      <c r="F72" s="265">
        <v>1391.5</v>
      </c>
      <c r="G72" s="265">
        <v>1741.5</v>
      </c>
      <c r="H72" s="265">
        <v>1941.5</v>
      </c>
      <c r="I72" s="265">
        <v>2141.5</v>
      </c>
      <c r="J72" s="265">
        <v>2141.5</v>
      </c>
      <c r="K72" s="265">
        <v>2141.5</v>
      </c>
      <c r="L72" s="265">
        <v>2141.5</v>
      </c>
      <c r="M72" s="265">
        <v>2341.5</v>
      </c>
      <c r="N72" s="265">
        <v>2541.5</v>
      </c>
      <c r="O72" s="265">
        <v>2541.5</v>
      </c>
      <c r="P72" s="265">
        <v>2741.5</v>
      </c>
      <c r="Q72" s="265">
        <v>2941.5</v>
      </c>
      <c r="R72" s="265">
        <v>2941.5</v>
      </c>
      <c r="S72" s="265">
        <v>2941.5</v>
      </c>
      <c r="T72" s="265">
        <v>2941.5</v>
      </c>
      <c r="U72" s="265">
        <v>2941.5</v>
      </c>
      <c r="V72" s="265">
        <v>2941.5</v>
      </c>
      <c r="W72" s="265"/>
      <c r="X72" s="265"/>
      <c r="Y72" s="265"/>
      <c r="Z72" s="265"/>
      <c r="AA72" s="266"/>
    </row>
    <row r="73" spans="2:27">
      <c r="B73" s="129"/>
      <c r="C73" s="258"/>
      <c r="D73" s="258"/>
      <c r="E73" s="258"/>
      <c r="F73" s="258"/>
      <c r="G73" s="258"/>
      <c r="H73" s="258"/>
      <c r="I73" s="258"/>
      <c r="J73" s="258"/>
      <c r="K73" s="258"/>
      <c r="L73" s="258"/>
      <c r="M73" s="258"/>
      <c r="N73" s="258"/>
      <c r="O73" s="258"/>
      <c r="P73" s="258"/>
      <c r="Q73" s="258"/>
      <c r="R73" s="258"/>
      <c r="S73" s="258"/>
      <c r="T73" s="258"/>
      <c r="U73" s="258"/>
      <c r="V73" s="258"/>
      <c r="W73" s="129"/>
      <c r="X73" s="129"/>
      <c r="Y73" s="129"/>
      <c r="Z73" s="129"/>
      <c r="AA73" s="129"/>
    </row>
    <row r="75" spans="2:27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89"/>
    </row>
    <row r="76" spans="2:27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</row>
    <row r="77" spans="2:27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</row>
    <row r="78" spans="2:27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</row>
    <row r="79" spans="2:27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</row>
    <row r="80" spans="2:27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</row>
    <row r="81" spans="1:35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</row>
    <row r="82" spans="1:35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</row>
    <row r="83" spans="1:35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89"/>
    </row>
    <row r="84" spans="1:35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89"/>
    </row>
    <row r="85" spans="1:35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</row>
    <row r="86" spans="1:35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89"/>
      <c r="T86" s="1"/>
    </row>
    <row r="87" spans="1:35">
      <c r="B87" s="16"/>
      <c r="C87" s="240"/>
      <c r="D87" s="240"/>
      <c r="E87" s="240"/>
      <c r="F87" s="240"/>
      <c r="G87" s="240"/>
      <c r="H87" s="240"/>
      <c r="I87" s="240"/>
      <c r="J87" s="240"/>
      <c r="K87" s="240"/>
      <c r="L87" s="240"/>
      <c r="M87" s="240"/>
      <c r="N87" s="240"/>
      <c r="O87" s="16"/>
      <c r="P87" s="16"/>
      <c r="Q87" s="16"/>
      <c r="R87" s="16"/>
      <c r="S87" s="16"/>
    </row>
    <row r="89" spans="1:35">
      <c r="U89" s="3"/>
    </row>
    <row r="91" spans="1:35">
      <c r="V91" s="1"/>
    </row>
    <row r="95" spans="1:35">
      <c r="A95" s="129"/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</row>
    <row r="96" spans="1:35">
      <c r="A96" s="129"/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</row>
  </sheetData>
  <phoneticPr fontId="13" type="noConversion"/>
  <hyperlinks>
    <hyperlink ref="A2" location="Indholdsfortegnelse!A1" display="Indholdsfortegnelse"/>
  </hyperlinks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7">
    <tabColor theme="9" tint="0.39997558519241921"/>
  </sheetPr>
  <dimension ref="A1:AA33"/>
  <sheetViews>
    <sheetView workbookViewId="0"/>
  </sheetViews>
  <sheetFormatPr defaultRowHeight="12.75"/>
  <cols>
    <col min="2" max="2" width="28.85546875" bestFit="1" customWidth="1"/>
    <col min="3" max="27" width="7.28515625" customWidth="1"/>
  </cols>
  <sheetData>
    <row r="1" spans="1:27">
      <c r="A1" s="130" t="s">
        <v>59</v>
      </c>
    </row>
    <row r="2" spans="1:27">
      <c r="A2" s="132" t="s">
        <v>56</v>
      </c>
    </row>
    <row r="3" spans="1:27">
      <c r="A3" s="318" t="s">
        <v>1</v>
      </c>
    </row>
    <row r="5" spans="1:27" s="485" customFormat="1"/>
    <row r="6" spans="1:27" s="485" customFormat="1">
      <c r="B6" s="130" t="s">
        <v>60</v>
      </c>
    </row>
    <row r="7" spans="1:27">
      <c r="B7" s="280"/>
      <c r="C7" s="46">
        <v>2016</v>
      </c>
      <c r="D7" s="46">
        <v>2017</v>
      </c>
      <c r="E7" s="46">
        <v>2018</v>
      </c>
      <c r="F7" s="46">
        <v>2019</v>
      </c>
      <c r="G7" s="46">
        <v>2020</v>
      </c>
      <c r="H7" s="46">
        <v>2021</v>
      </c>
      <c r="I7" s="46">
        <v>2022</v>
      </c>
      <c r="J7" s="46">
        <v>2023</v>
      </c>
      <c r="K7" s="46">
        <v>2024</v>
      </c>
      <c r="L7" s="46">
        <v>2025</v>
      </c>
      <c r="M7" s="46">
        <v>2026</v>
      </c>
      <c r="N7" s="46">
        <v>2027</v>
      </c>
      <c r="O7" s="46">
        <v>2028</v>
      </c>
      <c r="P7" s="46">
        <v>2029</v>
      </c>
      <c r="Q7" s="46">
        <v>2030</v>
      </c>
      <c r="R7" s="46">
        <v>2031</v>
      </c>
      <c r="S7" s="46">
        <v>2032</v>
      </c>
      <c r="T7" s="46">
        <v>2033</v>
      </c>
      <c r="U7" s="46">
        <v>2034</v>
      </c>
      <c r="V7" s="46">
        <v>2035</v>
      </c>
      <c r="W7" s="46">
        <v>2036</v>
      </c>
      <c r="X7" s="46">
        <v>2037</v>
      </c>
      <c r="Y7" s="46">
        <v>2038</v>
      </c>
      <c r="Z7" s="46">
        <v>2039</v>
      </c>
      <c r="AA7" s="277">
        <v>2040</v>
      </c>
    </row>
    <row r="8" spans="1:27">
      <c r="B8" s="584" t="s">
        <v>331</v>
      </c>
      <c r="C8" s="73">
        <v>456.95604268240481</v>
      </c>
      <c r="D8" s="73">
        <v>458.54235904224879</v>
      </c>
      <c r="E8" s="73">
        <v>458.80356051312202</v>
      </c>
      <c r="F8" s="73">
        <v>462.51631230059252</v>
      </c>
      <c r="G8" s="73">
        <v>466.37401648854592</v>
      </c>
      <c r="H8" s="73">
        <v>468.38547018580198</v>
      </c>
      <c r="I8" s="73">
        <v>471.48843256925664</v>
      </c>
      <c r="J8" s="73">
        <v>476.25937220858884</v>
      </c>
      <c r="K8" s="73">
        <v>483.5450232951037</v>
      </c>
      <c r="L8" s="73">
        <v>494.82237273788633</v>
      </c>
      <c r="M8" s="73">
        <v>511.49742915000638</v>
      </c>
      <c r="N8" s="73">
        <v>534.2442366659435</v>
      </c>
      <c r="O8" s="73">
        <v>565.9352932070351</v>
      </c>
      <c r="P8" s="73">
        <v>606.24532937417848</v>
      </c>
      <c r="Q8" s="73">
        <v>657.50126227642647</v>
      </c>
      <c r="R8" s="73">
        <v>722.88156934705239</v>
      </c>
      <c r="S8" s="73">
        <v>796.22860158286153</v>
      </c>
      <c r="T8" s="73">
        <v>877.75100049061734</v>
      </c>
      <c r="U8" s="73">
        <v>967.96840500058352</v>
      </c>
      <c r="V8" s="73">
        <v>1067.0499972210953</v>
      </c>
      <c r="W8" s="73">
        <v>1174.691905971699</v>
      </c>
      <c r="X8" s="73">
        <v>1291.3972876513217</v>
      </c>
      <c r="Y8" s="73">
        <v>1416.9610536955588</v>
      </c>
      <c r="Z8" s="73">
        <v>1549.1309221784156</v>
      </c>
      <c r="AA8" s="279">
        <v>1689.0628128791652</v>
      </c>
    </row>
    <row r="9" spans="1:27">
      <c r="B9" s="584" t="s">
        <v>332</v>
      </c>
      <c r="C9" s="73">
        <v>1.3319573169889942</v>
      </c>
      <c r="D9" s="73">
        <v>4.0498507643307606</v>
      </c>
      <c r="E9" s="73">
        <v>8.3889290976236044</v>
      </c>
      <c r="F9" s="73">
        <v>16.673683199152421</v>
      </c>
      <c r="G9" s="73">
        <v>32.831079142365347</v>
      </c>
      <c r="H9" s="73">
        <v>64.270476120141268</v>
      </c>
      <c r="I9" s="73">
        <v>102.08612655549861</v>
      </c>
      <c r="J9" s="73">
        <v>144.23758425805778</v>
      </c>
      <c r="K9" s="73">
        <v>193.51754440936838</v>
      </c>
      <c r="L9" s="73">
        <v>248.09004389697483</v>
      </c>
      <c r="M9" s="73">
        <v>308.94225022057708</v>
      </c>
      <c r="N9" s="73">
        <v>377.48858323443255</v>
      </c>
      <c r="O9" s="73">
        <v>451.26601459318414</v>
      </c>
      <c r="P9" s="73">
        <v>528.43737667607445</v>
      </c>
      <c r="Q9" s="73">
        <v>606.41809623158701</v>
      </c>
      <c r="R9" s="73">
        <v>684.48702811877092</v>
      </c>
      <c r="S9" s="73">
        <v>754.33210993396676</v>
      </c>
      <c r="T9" s="73">
        <v>815.65064800682478</v>
      </c>
      <c r="U9" s="73">
        <v>869.41965037192404</v>
      </c>
      <c r="V9" s="73">
        <v>914.88136974678889</v>
      </c>
      <c r="W9" s="73">
        <v>952.47139671650007</v>
      </c>
      <c r="X9" s="73">
        <v>982.39647252531404</v>
      </c>
      <c r="Y9" s="73">
        <v>1004.5648865785483</v>
      </c>
      <c r="Z9" s="73">
        <v>1020.0338712234694</v>
      </c>
      <c r="AA9" s="279">
        <v>1027.423200437365</v>
      </c>
    </row>
    <row r="10" spans="1:27">
      <c r="B10" s="584" t="s">
        <v>333</v>
      </c>
      <c r="C10" s="73">
        <v>128.29619946825125</v>
      </c>
      <c r="D10" s="73">
        <v>153.75747518403512</v>
      </c>
      <c r="E10" s="73">
        <v>186.04071639284939</v>
      </c>
      <c r="F10" s="73">
        <v>226.12668889357917</v>
      </c>
      <c r="G10" s="73">
        <v>279.37725383358753</v>
      </c>
      <c r="H10" s="73">
        <v>339.04827619803018</v>
      </c>
      <c r="I10" s="73">
        <v>397.78794770690575</v>
      </c>
      <c r="J10" s="73">
        <v>455.93564946331509</v>
      </c>
      <c r="K10" s="73">
        <v>510.16858168154545</v>
      </c>
      <c r="L10" s="73">
        <v>562.88029850011571</v>
      </c>
      <c r="M10" s="73">
        <v>611.05026356234657</v>
      </c>
      <c r="N10" s="73">
        <v>656.91577640975731</v>
      </c>
      <c r="O10" s="73">
        <v>698.8790349564033</v>
      </c>
      <c r="P10" s="73">
        <v>738.05390374504702</v>
      </c>
      <c r="Q10" s="73">
        <v>773.80165974331999</v>
      </c>
      <c r="R10" s="73">
        <v>806.02759328503328</v>
      </c>
      <c r="S10" s="73">
        <v>834.59583293278422</v>
      </c>
      <c r="T10" s="73">
        <v>858.66753178524084</v>
      </c>
      <c r="U10" s="73">
        <v>879.28315986712278</v>
      </c>
      <c r="V10" s="73">
        <v>896.13951357399537</v>
      </c>
      <c r="W10" s="73">
        <v>910.04828712538244</v>
      </c>
      <c r="X10" s="73">
        <v>920.67504112164909</v>
      </c>
      <c r="Y10" s="73">
        <v>928.66915956223147</v>
      </c>
      <c r="Z10" s="73">
        <v>934.31701646886108</v>
      </c>
      <c r="AA10" s="279">
        <v>938.29175510870698</v>
      </c>
    </row>
    <row r="11" spans="1:27">
      <c r="B11" s="584" t="s">
        <v>334</v>
      </c>
      <c r="C11" s="73">
        <v>1.2073565317499999</v>
      </c>
      <c r="D11" s="73">
        <v>3.1220731446248622</v>
      </c>
      <c r="E11" s="73">
        <v>5.9234315485469988</v>
      </c>
      <c r="F11" s="73">
        <v>9.8787313676250488</v>
      </c>
      <c r="G11" s="73">
        <v>15.132061345694146</v>
      </c>
      <c r="H11" s="73">
        <v>24.106025897201405</v>
      </c>
      <c r="I11" s="73">
        <v>32.934410983525794</v>
      </c>
      <c r="J11" s="73">
        <v>41.668515441882647</v>
      </c>
      <c r="K11" s="73">
        <v>52.087365152068784</v>
      </c>
      <c r="L11" s="73">
        <v>62.180741274732341</v>
      </c>
      <c r="M11" s="73">
        <v>73.56274100478285</v>
      </c>
      <c r="N11" s="73">
        <v>84.360534198135696</v>
      </c>
      <c r="O11" s="73">
        <v>96.042096017192307</v>
      </c>
      <c r="P11" s="73">
        <v>106.7979939267548</v>
      </c>
      <c r="Q11" s="73">
        <v>118.1857960850479</v>
      </c>
      <c r="R11" s="73">
        <v>129.74856275557636</v>
      </c>
      <c r="S11" s="73">
        <v>139.7596639859527</v>
      </c>
      <c r="T11" s="73">
        <v>149.21184966322355</v>
      </c>
      <c r="U11" s="73">
        <v>157.03239456602233</v>
      </c>
      <c r="V11" s="73">
        <v>163.96137311913188</v>
      </c>
      <c r="W11" s="73">
        <v>169.35916849519035</v>
      </c>
      <c r="X11" s="73">
        <v>173.82843366951448</v>
      </c>
      <c r="Y11" s="73">
        <v>176.80642529937427</v>
      </c>
      <c r="Z11" s="73">
        <v>178.64138337823772</v>
      </c>
      <c r="AA11" s="279">
        <v>178.76606365643772</v>
      </c>
    </row>
    <row r="12" spans="1:27">
      <c r="B12" s="584" t="s">
        <v>335</v>
      </c>
      <c r="C12" s="73">
        <v>195.82350000000164</v>
      </c>
      <c r="D12" s="73">
        <v>208.32350000000164</v>
      </c>
      <c r="E12" s="73">
        <v>228.32350000000164</v>
      </c>
      <c r="F12" s="73">
        <v>255.82350000000164</v>
      </c>
      <c r="G12" s="73">
        <v>289.32350000000167</v>
      </c>
      <c r="H12" s="73">
        <v>329.72350000000165</v>
      </c>
      <c r="I12" s="73">
        <v>372.67350000000164</v>
      </c>
      <c r="J12" s="73">
        <v>417.04850000000164</v>
      </c>
      <c r="K12" s="73">
        <v>464.34850000000165</v>
      </c>
      <c r="L12" s="73">
        <v>513.22350000000165</v>
      </c>
      <c r="M12" s="73">
        <v>564.72350000000165</v>
      </c>
      <c r="N12" s="73">
        <v>617.08064285714454</v>
      </c>
      <c r="O12" s="73">
        <v>671.08064285714454</v>
      </c>
      <c r="P12" s="73">
        <v>726.08064285714454</v>
      </c>
      <c r="Q12" s="73">
        <v>782.86635714285876</v>
      </c>
      <c r="R12" s="73">
        <v>841.11635714285887</v>
      </c>
      <c r="S12" s="73">
        <v>900.54492857143032</v>
      </c>
      <c r="T12" s="73">
        <v>960.04492857143032</v>
      </c>
      <c r="U12" s="73">
        <v>1020.1163571428589</v>
      </c>
      <c r="V12" s="73">
        <v>1081.0092142857161</v>
      </c>
      <c r="W12" s="73">
        <v>1142.5806428571445</v>
      </c>
      <c r="X12" s="73">
        <v>1205.0092142857161</v>
      </c>
      <c r="Y12" s="73">
        <v>1268.2949285714303</v>
      </c>
      <c r="Z12" s="73">
        <v>1332.4377857142874</v>
      </c>
      <c r="AA12" s="279">
        <v>1397.4377857142874</v>
      </c>
    </row>
    <row r="13" spans="1:27">
      <c r="B13" s="280" t="s">
        <v>9</v>
      </c>
      <c r="C13" s="68">
        <f>SUM(C8:C12)</f>
        <v>783.61505599939665</v>
      </c>
      <c r="D13" s="68">
        <f t="shared" ref="D13:AA13" si="0">SUM(D8:D12)</f>
        <v>827.79525813524117</v>
      </c>
      <c r="E13" s="68">
        <f t="shared" si="0"/>
        <v>887.48013755214367</v>
      </c>
      <c r="F13" s="68">
        <f t="shared" si="0"/>
        <v>971.01891576095079</v>
      </c>
      <c r="G13" s="68">
        <f t="shared" si="0"/>
        <v>1083.0379108101947</v>
      </c>
      <c r="H13" s="68">
        <f t="shared" si="0"/>
        <v>1225.5337484011766</v>
      </c>
      <c r="I13" s="68">
        <f t="shared" si="0"/>
        <v>1376.9704178151885</v>
      </c>
      <c r="J13" s="68">
        <f t="shared" si="0"/>
        <v>1535.149621371846</v>
      </c>
      <c r="K13" s="68">
        <f t="shared" si="0"/>
        <v>1703.6670145380879</v>
      </c>
      <c r="L13" s="68">
        <f t="shared" si="0"/>
        <v>1881.1969564097108</v>
      </c>
      <c r="M13" s="68">
        <f t="shared" si="0"/>
        <v>2069.7761839377144</v>
      </c>
      <c r="N13" s="68">
        <f t="shared" si="0"/>
        <v>2270.0897733654137</v>
      </c>
      <c r="O13" s="68">
        <f t="shared" si="0"/>
        <v>2483.2030816309593</v>
      </c>
      <c r="P13" s="68">
        <f t="shared" si="0"/>
        <v>2705.6152465791993</v>
      </c>
      <c r="Q13" s="68">
        <f t="shared" si="0"/>
        <v>2938.7731714792399</v>
      </c>
      <c r="R13" s="68">
        <f t="shared" si="0"/>
        <v>3184.2611106492914</v>
      </c>
      <c r="S13" s="68">
        <f t="shared" si="0"/>
        <v>3425.4611370069952</v>
      </c>
      <c r="T13" s="68">
        <f t="shared" si="0"/>
        <v>3661.3259585173369</v>
      </c>
      <c r="U13" s="68">
        <f t="shared" si="0"/>
        <v>3893.8199669485116</v>
      </c>
      <c r="V13" s="68">
        <f t="shared" si="0"/>
        <v>4123.0414679467276</v>
      </c>
      <c r="W13" s="68">
        <f t="shared" si="0"/>
        <v>4349.1514011659165</v>
      </c>
      <c r="X13" s="68">
        <f t="shared" si="0"/>
        <v>4573.3064492535159</v>
      </c>
      <c r="Y13" s="68">
        <f t="shared" si="0"/>
        <v>4795.296453707143</v>
      </c>
      <c r="Z13" s="68">
        <f t="shared" si="0"/>
        <v>5014.5609789632717</v>
      </c>
      <c r="AA13" s="278">
        <f t="shared" si="0"/>
        <v>5230.9816177959628</v>
      </c>
    </row>
    <row r="14" spans="1:27">
      <c r="A14" s="4"/>
      <c r="B14" s="611" t="s">
        <v>336</v>
      </c>
    </row>
    <row r="17" spans="2:27">
      <c r="B17" s="130" t="s">
        <v>407</v>
      </c>
    </row>
    <row r="18" spans="2:27">
      <c r="B18" s="280"/>
      <c r="C18" s="46">
        <v>2016</v>
      </c>
      <c r="D18" s="46">
        <v>2017</v>
      </c>
      <c r="E18" s="46">
        <v>2018</v>
      </c>
      <c r="F18" s="46">
        <v>2019</v>
      </c>
      <c r="G18" s="46">
        <v>2020</v>
      </c>
      <c r="H18" s="46">
        <v>2021</v>
      </c>
      <c r="I18" s="46">
        <v>2022</v>
      </c>
      <c r="J18" s="46">
        <v>2023</v>
      </c>
      <c r="K18" s="46">
        <v>2024</v>
      </c>
      <c r="L18" s="46">
        <v>2025</v>
      </c>
      <c r="M18" s="46">
        <v>2026</v>
      </c>
      <c r="N18" s="46">
        <v>2027</v>
      </c>
      <c r="O18" s="46">
        <v>2028</v>
      </c>
      <c r="P18" s="46">
        <v>2029</v>
      </c>
      <c r="Q18" s="46">
        <v>2030</v>
      </c>
      <c r="R18" s="46">
        <v>2031</v>
      </c>
      <c r="S18" s="46">
        <v>2032</v>
      </c>
      <c r="T18" s="46">
        <v>2033</v>
      </c>
      <c r="U18" s="46">
        <v>2034</v>
      </c>
      <c r="V18" s="46">
        <v>2035</v>
      </c>
      <c r="W18" s="46">
        <v>2036</v>
      </c>
      <c r="X18" s="46">
        <v>2037</v>
      </c>
      <c r="Y18" s="46">
        <v>2038</v>
      </c>
      <c r="Z18" s="46">
        <v>2039</v>
      </c>
      <c r="AA18" s="277">
        <v>2040</v>
      </c>
    </row>
    <row r="19" spans="2:27">
      <c r="B19" s="584" t="s">
        <v>408</v>
      </c>
      <c r="C19" s="73">
        <v>809.25684285970942</v>
      </c>
      <c r="D19" s="73">
        <v>824.14963312807924</v>
      </c>
      <c r="E19" s="73">
        <v>837.3505048996185</v>
      </c>
      <c r="F19" s="73">
        <v>851.82827518091142</v>
      </c>
      <c r="G19" s="73">
        <v>877.03132298302717</v>
      </c>
      <c r="H19" s="73">
        <v>908.47834519008143</v>
      </c>
      <c r="I19" s="73">
        <v>942.43083280268331</v>
      </c>
      <c r="J19" s="73">
        <v>976.22015133408695</v>
      </c>
      <c r="K19" s="73">
        <v>1011.1032080438183</v>
      </c>
      <c r="L19" s="73">
        <v>1044.8667070838246</v>
      </c>
      <c r="M19" s="73">
        <v>1078.052700723855</v>
      </c>
      <c r="N19" s="73">
        <v>1110.5073284330952</v>
      </c>
      <c r="O19" s="73">
        <v>1141.1455079211999</v>
      </c>
      <c r="P19" s="73">
        <v>1169.3213328950744</v>
      </c>
      <c r="Q19" s="73">
        <v>1194.5557922164928</v>
      </c>
      <c r="R19" s="73">
        <v>1217.003384201319</v>
      </c>
      <c r="S19" s="73">
        <v>1235.5486360289487</v>
      </c>
      <c r="T19" s="73">
        <v>1251.1131466350726</v>
      </c>
      <c r="U19" s="73">
        <v>1264.5241282099182</v>
      </c>
      <c r="V19" s="73">
        <v>1276.2623679927608</v>
      </c>
      <c r="W19" s="73">
        <v>1286.7194170051171</v>
      </c>
      <c r="X19" s="73">
        <v>1296.0024197456764</v>
      </c>
      <c r="Y19" s="73">
        <v>1304.4492090908386</v>
      </c>
      <c r="Z19" s="73">
        <v>1312.0028873083031</v>
      </c>
      <c r="AA19" s="279">
        <v>1318.8912667376201</v>
      </c>
    </row>
    <row r="20" spans="2:27">
      <c r="B20" s="584" t="s">
        <v>409</v>
      </c>
      <c r="C20" s="73">
        <v>1039.8774604089665</v>
      </c>
      <c r="D20" s="73">
        <v>1042.8304987046595</v>
      </c>
      <c r="E20" s="73">
        <v>1048.3810236584691</v>
      </c>
      <c r="F20" s="73">
        <v>1056.0729493769204</v>
      </c>
      <c r="G20" s="73">
        <v>1065.9908934713003</v>
      </c>
      <c r="H20" s="73">
        <v>1085.2518558652696</v>
      </c>
      <c r="I20" s="73">
        <v>1099.3077131508503</v>
      </c>
      <c r="J20" s="73">
        <v>1110.4541918504281</v>
      </c>
      <c r="K20" s="73">
        <v>1119.6076774430094</v>
      </c>
      <c r="L20" s="73">
        <v>1127.5265502320121</v>
      </c>
      <c r="M20" s="73">
        <v>1134.4785972939733</v>
      </c>
      <c r="N20" s="73">
        <v>1140.810175759073</v>
      </c>
      <c r="O20" s="73">
        <v>1146.6960037503936</v>
      </c>
      <c r="P20" s="73">
        <v>1152.2070264956155</v>
      </c>
      <c r="Q20" s="73">
        <v>1157.5551701576235</v>
      </c>
      <c r="R20" s="73">
        <v>1162.6535101068373</v>
      </c>
      <c r="S20" s="73">
        <v>1167.3963503953885</v>
      </c>
      <c r="T20" s="73">
        <v>1171.8757968940595</v>
      </c>
      <c r="U20" s="73">
        <v>1176.1264607848273</v>
      </c>
      <c r="V20" s="73">
        <v>1180.2400767315307</v>
      </c>
      <c r="W20" s="73">
        <v>1184.2579936932232</v>
      </c>
      <c r="X20" s="73">
        <v>1188.2057554472767</v>
      </c>
      <c r="Y20" s="73">
        <v>1192.1208365520927</v>
      </c>
      <c r="Z20" s="73">
        <v>1196.0529092471741</v>
      </c>
      <c r="AA20" s="279">
        <v>1199.9621620908069</v>
      </c>
    </row>
    <row r="21" spans="2:27">
      <c r="B21" s="585" t="str">
        <f>B12</f>
        <v>Markanlæg</v>
      </c>
      <c r="C21" s="52">
        <v>1150.9701338194757</v>
      </c>
      <c r="D21" s="52">
        <v>1151.2719400355606</v>
      </c>
      <c r="E21" s="52">
        <v>1152.8248296824379</v>
      </c>
      <c r="F21" s="52">
        <v>1155.9610434537801</v>
      </c>
      <c r="G21" s="52">
        <v>1160.4812605958316</v>
      </c>
      <c r="H21" s="52">
        <v>1167.3578013092729</v>
      </c>
      <c r="I21" s="52">
        <v>1173.1135565045493</v>
      </c>
      <c r="J21" s="52">
        <v>1177.7400829879452</v>
      </c>
      <c r="K21" s="52">
        <v>1181.8284219718553</v>
      </c>
      <c r="L21" s="52">
        <v>1185.4243911278381</v>
      </c>
      <c r="M21" s="52">
        <v>1188.6079356914076</v>
      </c>
      <c r="N21" s="52">
        <v>1191.5486005591501</v>
      </c>
      <c r="O21" s="52">
        <v>1194.3377435264561</v>
      </c>
      <c r="P21" s="52">
        <v>1196.9785302281916</v>
      </c>
      <c r="Q21" s="52">
        <v>1199.5351213475653</v>
      </c>
      <c r="R21" s="52">
        <v>1201.9387388987857</v>
      </c>
      <c r="S21" s="52">
        <v>1204.1543790668306</v>
      </c>
      <c r="T21" s="52">
        <v>1206.2217973578445</v>
      </c>
      <c r="U21" s="52">
        <v>1208.1394335338055</v>
      </c>
      <c r="V21" s="52">
        <v>1209.979918236455</v>
      </c>
      <c r="W21" s="52">
        <v>1211.7114190564459</v>
      </c>
      <c r="X21" s="52">
        <v>1213.3917986045019</v>
      </c>
      <c r="Y21" s="52">
        <v>1215.0279021964734</v>
      </c>
      <c r="Z21" s="52">
        <v>1216.6254543431091</v>
      </c>
      <c r="AA21" s="282">
        <v>1218.1892774270691</v>
      </c>
    </row>
    <row r="22" spans="2:27">
      <c r="B22" s="612" t="s">
        <v>337</v>
      </c>
    </row>
    <row r="25" spans="2:27">
      <c r="B25" s="130" t="s">
        <v>61</v>
      </c>
    </row>
    <row r="26" spans="2:27">
      <c r="B26" s="280"/>
      <c r="C26" s="46">
        <v>2016</v>
      </c>
      <c r="D26" s="46">
        <v>2017</v>
      </c>
      <c r="E26" s="46">
        <v>2018</v>
      </c>
      <c r="F26" s="46">
        <v>2019</v>
      </c>
      <c r="G26" s="46">
        <v>2020</v>
      </c>
      <c r="H26" s="46">
        <v>2021</v>
      </c>
      <c r="I26" s="46">
        <v>2022</v>
      </c>
      <c r="J26" s="46">
        <v>2023</v>
      </c>
      <c r="K26" s="46">
        <v>2024</v>
      </c>
      <c r="L26" s="46">
        <v>2025</v>
      </c>
      <c r="M26" s="46">
        <v>2026</v>
      </c>
      <c r="N26" s="46">
        <v>2027</v>
      </c>
      <c r="O26" s="46">
        <v>2028</v>
      </c>
      <c r="P26" s="46">
        <v>2029</v>
      </c>
      <c r="Q26" s="46">
        <v>2030</v>
      </c>
      <c r="R26" s="46">
        <v>2031</v>
      </c>
      <c r="S26" s="46">
        <v>2032</v>
      </c>
      <c r="T26" s="46">
        <v>2033</v>
      </c>
      <c r="U26" s="46">
        <v>2034</v>
      </c>
      <c r="V26" s="46">
        <v>2035</v>
      </c>
      <c r="W26" s="46">
        <v>2036</v>
      </c>
      <c r="X26" s="46">
        <v>2037</v>
      </c>
      <c r="Y26" s="46">
        <v>2038</v>
      </c>
      <c r="Z26" s="46">
        <v>2039</v>
      </c>
      <c r="AA26" s="277">
        <v>2040</v>
      </c>
    </row>
    <row r="27" spans="2:27">
      <c r="B27" s="584" t="str">
        <f>B8</f>
        <v>Husstandsanlæg uden batteri</v>
      </c>
      <c r="C27" s="73">
        <f>C8*C19/1000</f>
        <v>369.79480442682956</v>
      </c>
      <c r="D27" s="73">
        <f t="shared" ref="D27:AA27" si="1">D8*D19/1000</f>
        <v>377.90751697835333</v>
      </c>
      <c r="E27" s="73">
        <f t="shared" si="1"/>
        <v>384.17939304540539</v>
      </c>
      <c r="F27" s="73">
        <f t="shared" si="1"/>
        <v>393.98447255004947</v>
      </c>
      <c r="G27" s="73">
        <f t="shared" si="1"/>
        <v>409.02462068585754</v>
      </c>
      <c r="H27" s="73">
        <f t="shared" si="1"/>
        <v>425.51805686547561</v>
      </c>
      <c r="I27" s="73">
        <f t="shared" si="1"/>
        <v>444.34523616307638</v>
      </c>
      <c r="J27" s="73">
        <f t="shared" si="1"/>
        <v>464.93399641174585</v>
      </c>
      <c r="K27" s="73">
        <f t="shared" si="1"/>
        <v>488.91392428730217</v>
      </c>
      <c r="L27" s="73">
        <f t="shared" si="1"/>
        <v>517.02342319404011</v>
      </c>
      <c r="M27" s="73">
        <f t="shared" si="1"/>
        <v>551.42118490847304</v>
      </c>
      <c r="N27" s="73">
        <f t="shared" si="1"/>
        <v>593.28213999067509</v>
      </c>
      <c r="O27" s="73">
        <f t="shared" si="1"/>
        <v>645.81451761727521</v>
      </c>
      <c r="P27" s="73">
        <f t="shared" si="1"/>
        <v>708.89559660522775</v>
      </c>
      <c r="Q27" s="73">
        <f t="shared" si="1"/>
        <v>785.42194124196067</v>
      </c>
      <c r="R27" s="73">
        <f t="shared" si="1"/>
        <v>879.74931627212322</v>
      </c>
      <c r="S27" s="73">
        <f t="shared" si="1"/>
        <v>983.77916265294175</v>
      </c>
      <c r="T27" s="73">
        <f t="shared" si="1"/>
        <v>1098.1658161858993</v>
      </c>
      <c r="U27" s="73">
        <f t="shared" si="1"/>
        <v>1224.0194034681078</v>
      </c>
      <c r="V27" s="73">
        <f t="shared" si="1"/>
        <v>1361.8357562200638</v>
      </c>
      <c r="W27" s="73">
        <f t="shared" si="1"/>
        <v>1511.4988844125344</v>
      </c>
      <c r="X27" s="73">
        <f t="shared" si="1"/>
        <v>1673.6540096491162</v>
      </c>
      <c r="Y27" s="73">
        <f t="shared" si="1"/>
        <v>1848.3537258056931</v>
      </c>
      <c r="Z27" s="73">
        <f t="shared" si="1"/>
        <v>2032.4642427166557</v>
      </c>
      <c r="AA27" s="279">
        <f t="shared" si="1"/>
        <v>2227.6901928776097</v>
      </c>
    </row>
    <row r="28" spans="2:27">
      <c r="B28" s="584" t="str">
        <f t="shared" ref="B28:B31" si="2">B9</f>
        <v>Husstandsanlæg med batteri</v>
      </c>
      <c r="C28" s="73">
        <f>C9*C19/1000</f>
        <v>1.0778955731704027</v>
      </c>
      <c r="D28" s="73">
        <f t="shared" ref="D28:AA28" si="3">D9*D19/1000</f>
        <v>3.3376830216466677</v>
      </c>
      <c r="E28" s="73">
        <f t="shared" si="3"/>
        <v>7.0244740154622258</v>
      </c>
      <c r="F28" s="73">
        <f t="shared" si="3"/>
        <v>14.203114800446949</v>
      </c>
      <c r="G28" s="73">
        <f t="shared" si="3"/>
        <v>28.793884775189149</v>
      </c>
      <c r="H28" s="73">
        <f t="shared" si="3"/>
        <v>58.388335790204586</v>
      </c>
      <c r="I28" s="73">
        <f t="shared" si="3"/>
        <v>96.209113267298676</v>
      </c>
      <c r="J28" s="73">
        <f t="shared" si="3"/>
        <v>140.80763633246428</v>
      </c>
      <c r="K28" s="73">
        <f t="shared" si="3"/>
        <v>195.66620996507447</v>
      </c>
      <c r="L28" s="73">
        <f t="shared" si="3"/>
        <v>259.22102722691358</v>
      </c>
      <c r="M28" s="73">
        <f t="shared" si="3"/>
        <v>333.05602721799812</v>
      </c>
      <c r="N28" s="73">
        <f t="shared" si="3"/>
        <v>419.20383808166378</v>
      </c>
      <c r="O28" s="73">
        <f t="shared" si="3"/>
        <v>514.96018543051468</v>
      </c>
      <c r="P28" s="73">
        <f t="shared" si="3"/>
        <v>617.91309764644382</v>
      </c>
      <c r="Q28" s="73">
        <f t="shared" si="3"/>
        <v>724.40024935834072</v>
      </c>
      <c r="R28" s="73">
        <f t="shared" si="3"/>
        <v>833.02302966244758</v>
      </c>
      <c r="S28" s="73">
        <f t="shared" si="3"/>
        <v>932.01400954175165</v>
      </c>
      <c r="T28" s="73">
        <f t="shared" si="3"/>
        <v>1020.4712487827545</v>
      </c>
      <c r="U28" s="73">
        <f t="shared" si="3"/>
        <v>1099.4021254351289</v>
      </c>
      <c r="V28" s="73">
        <f t="shared" si="3"/>
        <v>1167.6286633854975</v>
      </c>
      <c r="W28" s="73">
        <f t="shared" si="3"/>
        <v>1225.5634402971048</v>
      </c>
      <c r="X28" s="73">
        <f t="shared" si="3"/>
        <v>1273.1882055424239</v>
      </c>
      <c r="Y28" s="73">
        <f t="shared" si="3"/>
        <v>1310.4038717778153</v>
      </c>
      <c r="Z28" s="73">
        <f t="shared" si="3"/>
        <v>1338.2873841974576</v>
      </c>
      <c r="AA28" s="279">
        <f t="shared" si="3"/>
        <v>1355.059486300456</v>
      </c>
    </row>
    <row r="29" spans="2:27">
      <c r="B29" s="584" t="str">
        <f t="shared" si="2"/>
        <v>Kommercielle anlæg uden batteri</v>
      </c>
      <c r="C29" s="73">
        <f>C10*C20/1000</f>
        <v>133.4123260831673</v>
      </c>
      <c r="D29" s="73">
        <f t="shared" ref="D29:AA29" si="4">D10*D20/1000</f>
        <v>160.34298452573665</v>
      </c>
      <c r="E29" s="73">
        <f t="shared" si="4"/>
        <v>195.04155669409036</v>
      </c>
      <c r="F29" s="73">
        <f t="shared" si="4"/>
        <v>238.80627927267946</v>
      </c>
      <c r="G29" s="73">
        <f t="shared" si="4"/>
        <v>297.81360842962425</v>
      </c>
      <c r="H29" s="73">
        <f t="shared" si="4"/>
        <v>367.95277097183276</v>
      </c>
      <c r="I29" s="73">
        <f t="shared" si="4"/>
        <v>437.29135911264859</v>
      </c>
      <c r="J29" s="73">
        <f t="shared" si="4"/>
        <v>506.29565316058563</v>
      </c>
      <c r="K29" s="73">
        <f t="shared" si="4"/>
        <v>571.18866084086926</v>
      </c>
      <c r="L29" s="73">
        <f t="shared" si="4"/>
        <v>634.66248116140071</v>
      </c>
      <c r="M29" s="73">
        <f t="shared" si="4"/>
        <v>693.22344588232363</v>
      </c>
      <c r="N29" s="73">
        <f t="shared" si="4"/>
        <v>749.41620234492314</v>
      </c>
      <c r="O29" s="73">
        <f t="shared" si="4"/>
        <v>801.40179648943933</v>
      </c>
      <c r="P29" s="73">
        <f t="shared" si="4"/>
        <v>850.39089382756185</v>
      </c>
      <c r="Q29" s="73">
        <f t="shared" si="4"/>
        <v>895.71811191243023</v>
      </c>
      <c r="R29" s="73">
        <f t="shared" si="4"/>
        <v>937.13081057581019</v>
      </c>
      <c r="S29" s="73">
        <f t="shared" si="4"/>
        <v>974.30412942093164</v>
      </c>
      <c r="T29" s="73">
        <f t="shared" si="4"/>
        <v>1006.2516980778843</v>
      </c>
      <c r="U29" s="73">
        <f t="shared" si="4"/>
        <v>1034.1481908422186</v>
      </c>
      <c r="V29" s="73">
        <f t="shared" si="4"/>
        <v>1057.6597682627289</v>
      </c>
      <c r="W29" s="73">
        <f t="shared" si="4"/>
        <v>1077.7319586750598</v>
      </c>
      <c r="X29" s="73">
        <f t="shared" si="4"/>
        <v>1093.9513827574015</v>
      </c>
      <c r="Y29" s="73">
        <f t="shared" si="4"/>
        <v>1107.0858553774563</v>
      </c>
      <c r="Z29" s="73">
        <f t="shared" si="4"/>
        <v>1117.492585706721</v>
      </c>
      <c r="AA29" s="279">
        <f t="shared" si="4"/>
        <v>1125.9146031322221</v>
      </c>
    </row>
    <row r="30" spans="2:27">
      <c r="B30" s="584" t="str">
        <f t="shared" si="2"/>
        <v>Kommercielle anlæg med batteri</v>
      </c>
      <c r="C30" s="73">
        <f>C11*C20/1000</f>
        <v>1.2555028440443676</v>
      </c>
      <c r="D30" s="73">
        <f t="shared" ref="D30:AA30" si="5">D11*D20/1000</f>
        <v>3.2557930944015694</v>
      </c>
      <c r="E30" s="73">
        <f t="shared" si="5"/>
        <v>6.2100132304365738</v>
      </c>
      <c r="F30" s="73">
        <f t="shared" si="5"/>
        <v>10.432660971510083</v>
      </c>
      <c r="G30" s="73">
        <f t="shared" si="5"/>
        <v>16.130639593959028</v>
      </c>
      <c r="H30" s="73">
        <f t="shared" si="5"/>
        <v>26.161109342474077</v>
      </c>
      <c r="I30" s="73">
        <f t="shared" si="5"/>
        <v>36.205052022269982</v>
      </c>
      <c r="J30" s="73">
        <f t="shared" si="5"/>
        <v>46.270977640622874</v>
      </c>
      <c r="K30" s="73">
        <f t="shared" si="5"/>
        <v>58.317413922033673</v>
      </c>
      <c r="L30" s="73">
        <f t="shared" si="5"/>
        <v>70.11043670036824</v>
      </c>
      <c r="M30" s="73">
        <f t="shared" si="5"/>
        <v>83.455355228205889</v>
      </c>
      <c r="N30" s="73">
        <f t="shared" si="5"/>
        <v>96.239355845704466</v>
      </c>
      <c r="O30" s="73">
        <f t="shared" si="5"/>
        <v>110.13108769472601</v>
      </c>
      <c r="P30" s="73">
        <f t="shared" si="5"/>
        <v>123.05339901804295</v>
      </c>
      <c r="Q30" s="73">
        <f t="shared" si="5"/>
        <v>136.80657929744183</v>
      </c>
      <c r="R30" s="73">
        <f t="shared" si="5"/>
        <v>150.85262191908814</v>
      </c>
      <c r="S30" s="73">
        <f t="shared" si="5"/>
        <v>163.15492166968698</v>
      </c>
      <c r="T30" s="73">
        <f t="shared" si="5"/>
        <v>174.85775523012668</v>
      </c>
      <c r="U30" s="73">
        <f t="shared" si="5"/>
        <v>184.68995444950238</v>
      </c>
      <c r="V30" s="73">
        <f t="shared" si="5"/>
        <v>193.51378359113136</v>
      </c>
      <c r="W30" s="73">
        <f t="shared" si="5"/>
        <v>200.56494909566663</v>
      </c>
      <c r="X30" s="73">
        <f t="shared" si="5"/>
        <v>206.54394534650228</v>
      </c>
      <c r="Y30" s="73">
        <f t="shared" si="5"/>
        <v>210.77462363567514</v>
      </c>
      <c r="Z30" s="73">
        <f t="shared" si="5"/>
        <v>213.66454630148098</v>
      </c>
      <c r="AA30" s="279">
        <f t="shared" si="5"/>
        <v>214.51251225364183</v>
      </c>
    </row>
    <row r="31" spans="2:27">
      <c r="B31" s="584" t="str">
        <f t="shared" si="2"/>
        <v>Markanlæg</v>
      </c>
      <c r="C31" s="73">
        <f>C12*C21/1000</f>
        <v>225.387</v>
      </c>
      <c r="D31" s="73">
        <f t="shared" ref="D31:AA31" si="6">D12*D21/1000</f>
        <v>239.83699999999999</v>
      </c>
      <c r="E31" s="73">
        <f t="shared" si="6"/>
        <v>263.21699999999998</v>
      </c>
      <c r="F31" s="73">
        <f t="shared" si="6"/>
        <v>295.72199999999998</v>
      </c>
      <c r="G31" s="73">
        <f t="shared" si="6"/>
        <v>335.75450000000001</v>
      </c>
      <c r="H31" s="73">
        <f t="shared" si="6"/>
        <v>384.90530000000001</v>
      </c>
      <c r="I31" s="73">
        <f t="shared" si="6"/>
        <v>437.18833500000005</v>
      </c>
      <c r="J31" s="73">
        <f t="shared" si="6"/>
        <v>491.174735</v>
      </c>
      <c r="K31" s="73">
        <f t="shared" si="6"/>
        <v>548.78025500000001</v>
      </c>
      <c r="L31" s="73">
        <f t="shared" si="6"/>
        <v>608.387655</v>
      </c>
      <c r="M31" s="73">
        <f t="shared" si="6"/>
        <v>671.23483357142857</v>
      </c>
      <c r="N31" s="73">
        <f t="shared" si="6"/>
        <v>735.28157642857127</v>
      </c>
      <c r="O31" s="73">
        <f t="shared" si="6"/>
        <v>801.49694071428564</v>
      </c>
      <c r="P31" s="73">
        <f t="shared" si="6"/>
        <v>869.10294071428541</v>
      </c>
      <c r="Q31" s="73">
        <f t="shared" si="6"/>
        <v>939.07569071428543</v>
      </c>
      <c r="R31" s="73">
        <f t="shared" si="6"/>
        <v>1010.9703335714285</v>
      </c>
      <c r="S31" s="73">
        <f t="shared" si="6"/>
        <v>1084.3951192857141</v>
      </c>
      <c r="T31" s="73">
        <f t="shared" si="6"/>
        <v>1158.0271192857142</v>
      </c>
      <c r="U31" s="73">
        <f t="shared" si="6"/>
        <v>1232.4427978571428</v>
      </c>
      <c r="V31" s="73">
        <f t="shared" si="6"/>
        <v>1307.9994407142854</v>
      </c>
      <c r="W31" s="73">
        <f t="shared" si="6"/>
        <v>1384.4780121428569</v>
      </c>
      <c r="X31" s="73">
        <f t="shared" si="6"/>
        <v>1462.1482978571428</v>
      </c>
      <c r="Y31" s="73">
        <f t="shared" si="6"/>
        <v>1541.0137264285711</v>
      </c>
      <c r="Z31" s="73">
        <f t="shared" si="6"/>
        <v>1621.0777264285712</v>
      </c>
      <c r="AA31" s="279">
        <f t="shared" si="6"/>
        <v>1702.3437264285712</v>
      </c>
    </row>
    <row r="32" spans="2:27">
      <c r="B32" s="280" t="s">
        <v>9</v>
      </c>
      <c r="C32" s="68">
        <f>SUM(C27:C31)</f>
        <v>730.9275289272116</v>
      </c>
      <c r="D32" s="68">
        <f t="shared" ref="D32:AA32" si="7">SUM(D27:D31)</f>
        <v>784.68097762013826</v>
      </c>
      <c r="E32" s="68">
        <f t="shared" si="7"/>
        <v>855.6724369853946</v>
      </c>
      <c r="F32" s="68">
        <f t="shared" si="7"/>
        <v>953.14852759468602</v>
      </c>
      <c r="G32" s="68">
        <f t="shared" si="7"/>
        <v>1087.5172534846301</v>
      </c>
      <c r="H32" s="68">
        <f t="shared" si="7"/>
        <v>1262.9255729699871</v>
      </c>
      <c r="I32" s="68">
        <f t="shared" si="7"/>
        <v>1451.2390955652936</v>
      </c>
      <c r="J32" s="68">
        <f t="shared" si="7"/>
        <v>1649.4829985454187</v>
      </c>
      <c r="K32" s="68">
        <f t="shared" si="7"/>
        <v>1862.8664640152797</v>
      </c>
      <c r="L32" s="68">
        <f t="shared" si="7"/>
        <v>2089.4050232827226</v>
      </c>
      <c r="M32" s="68">
        <f t="shared" si="7"/>
        <v>2332.3908468084292</v>
      </c>
      <c r="N32" s="68">
        <f t="shared" si="7"/>
        <v>2593.4231126915379</v>
      </c>
      <c r="O32" s="68">
        <f t="shared" si="7"/>
        <v>2873.8045279462408</v>
      </c>
      <c r="P32" s="68">
        <f t="shared" si="7"/>
        <v>3169.3559278115617</v>
      </c>
      <c r="Q32" s="68">
        <f t="shared" si="7"/>
        <v>3481.4225725244587</v>
      </c>
      <c r="R32" s="68">
        <f t="shared" si="7"/>
        <v>3811.7261120008975</v>
      </c>
      <c r="S32" s="68">
        <f t="shared" si="7"/>
        <v>4137.6473425710265</v>
      </c>
      <c r="T32" s="68">
        <f t="shared" si="7"/>
        <v>4457.773637562379</v>
      </c>
      <c r="U32" s="68">
        <f t="shared" si="7"/>
        <v>4774.7024720521003</v>
      </c>
      <c r="V32" s="68">
        <f t="shared" si="7"/>
        <v>5088.6374121737072</v>
      </c>
      <c r="W32" s="68">
        <f t="shared" si="7"/>
        <v>5399.8372446232224</v>
      </c>
      <c r="X32" s="68">
        <f t="shared" si="7"/>
        <v>5709.4858411525865</v>
      </c>
      <c r="Y32" s="68">
        <f t="shared" si="7"/>
        <v>6017.6318030252114</v>
      </c>
      <c r="Z32" s="68">
        <f t="shared" si="7"/>
        <v>6322.9864853508861</v>
      </c>
      <c r="AA32" s="278">
        <f t="shared" si="7"/>
        <v>6625.5205209925016</v>
      </c>
    </row>
    <row r="33" spans="2:2">
      <c r="B33" s="612" t="s">
        <v>338</v>
      </c>
    </row>
  </sheetData>
  <hyperlinks>
    <hyperlink ref="A2" location="Indholdsfortegnelse!A1" display="Indholdsfortegnelse"/>
  </hyperlinks>
  <pageMargins left="0.7" right="0.7" top="0.75" bottom="0.75" header="0.3" footer="0.3"/>
  <ignoredErrors>
    <ignoredError sqref="C13:AA13" formulaRange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>
    <tabColor theme="9" tint="0.39997558519241921"/>
    <pageSetUpPr fitToPage="1"/>
  </sheetPr>
  <dimension ref="A1:G36"/>
  <sheetViews>
    <sheetView workbookViewId="0"/>
  </sheetViews>
  <sheetFormatPr defaultRowHeight="12.75"/>
  <cols>
    <col min="1" max="1" width="9.140625" customWidth="1"/>
    <col min="2" max="2" width="25.7109375" customWidth="1"/>
    <col min="3" max="4" width="10.7109375" customWidth="1"/>
    <col min="5" max="5" width="8.7109375" customWidth="1"/>
    <col min="6" max="6" width="35.7109375" customWidth="1"/>
    <col min="7" max="7" width="7.7109375" customWidth="1"/>
  </cols>
  <sheetData>
    <row r="1" spans="1:7">
      <c r="A1" s="130" t="s">
        <v>43</v>
      </c>
      <c r="B1" s="130"/>
    </row>
    <row r="2" spans="1:7">
      <c r="A2" s="132" t="s">
        <v>56</v>
      </c>
      <c r="B2" s="131"/>
    </row>
    <row r="6" spans="1:7" s="789" customFormat="1" ht="18">
      <c r="B6" s="667" t="s">
        <v>454</v>
      </c>
      <c r="C6"/>
      <c r="D6"/>
      <c r="E6"/>
      <c r="F6"/>
      <c r="G6"/>
    </row>
    <row r="7" spans="1:7" s="789" customFormat="1">
      <c r="B7" s="130" t="s">
        <v>455</v>
      </c>
    </row>
    <row r="8" spans="1:7" ht="12.75" customHeight="1">
      <c r="B8" s="884" t="s">
        <v>16</v>
      </c>
      <c r="C8" s="885" t="s">
        <v>445</v>
      </c>
      <c r="D8" s="885" t="s">
        <v>446</v>
      </c>
      <c r="E8" s="884" t="s">
        <v>146</v>
      </c>
      <c r="F8" s="884" t="s">
        <v>17</v>
      </c>
      <c r="G8" s="884" t="s">
        <v>250</v>
      </c>
    </row>
    <row r="9" spans="1:7">
      <c r="B9" s="884"/>
      <c r="C9" s="886"/>
      <c r="D9" s="886"/>
      <c r="E9" s="884"/>
      <c r="F9" s="884"/>
      <c r="G9" s="884"/>
    </row>
    <row r="10" spans="1:7">
      <c r="B10" s="884"/>
      <c r="C10" s="821" t="s">
        <v>447</v>
      </c>
      <c r="D10" s="821" t="s">
        <v>447</v>
      </c>
      <c r="E10" s="694" t="s">
        <v>0</v>
      </c>
      <c r="F10" s="884"/>
      <c r="G10" s="821" t="s">
        <v>147</v>
      </c>
    </row>
    <row r="11" spans="1:7">
      <c r="B11" s="433" t="s">
        <v>241</v>
      </c>
      <c r="C11" s="434">
        <v>70</v>
      </c>
      <c r="D11" s="434">
        <v>70</v>
      </c>
      <c r="E11" s="434">
        <v>2009</v>
      </c>
      <c r="F11" s="461" t="s">
        <v>465</v>
      </c>
      <c r="G11" s="437" t="s">
        <v>448</v>
      </c>
    </row>
    <row r="12" spans="1:7" ht="21.75">
      <c r="B12" s="433" t="s">
        <v>242</v>
      </c>
      <c r="C12" s="434">
        <v>265</v>
      </c>
      <c r="D12" s="434">
        <v>250</v>
      </c>
      <c r="E12" s="434">
        <v>1989</v>
      </c>
      <c r="F12" s="461" t="s">
        <v>466</v>
      </c>
      <c r="G12" s="437" t="s">
        <v>448</v>
      </c>
    </row>
    <row r="13" spans="1:7" ht="32.25">
      <c r="B13" s="433" t="s">
        <v>243</v>
      </c>
      <c r="C13" s="434">
        <v>140</v>
      </c>
      <c r="D13" s="434">
        <v>140</v>
      </c>
      <c r="E13" s="434">
        <v>1961</v>
      </c>
      <c r="F13" s="461" t="s">
        <v>467</v>
      </c>
      <c r="G13" s="437" t="s">
        <v>448</v>
      </c>
    </row>
    <row r="14" spans="1:7" ht="53.25">
      <c r="B14" s="433" t="s">
        <v>244</v>
      </c>
      <c r="C14" s="434">
        <v>265</v>
      </c>
      <c r="D14" s="434">
        <v>255</v>
      </c>
      <c r="E14" s="434">
        <v>1990</v>
      </c>
      <c r="F14" s="461" t="s">
        <v>468</v>
      </c>
      <c r="G14" s="437" t="s">
        <v>448</v>
      </c>
    </row>
    <row r="15" spans="1:7" ht="32.25">
      <c r="B15" s="433" t="s">
        <v>245</v>
      </c>
      <c r="C15" s="434">
        <v>545</v>
      </c>
      <c r="D15" s="434">
        <v>545</v>
      </c>
      <c r="E15" s="434">
        <v>2002</v>
      </c>
      <c r="F15" s="461" t="s">
        <v>469</v>
      </c>
      <c r="G15" s="437" t="s">
        <v>448</v>
      </c>
    </row>
    <row r="16" spans="1:7">
      <c r="B16" s="433" t="s">
        <v>253</v>
      </c>
      <c r="C16" s="434">
        <v>75</v>
      </c>
      <c r="D16" s="434">
        <v>75</v>
      </c>
      <c r="E16" s="434">
        <v>1985</v>
      </c>
      <c r="F16" s="461" t="s">
        <v>470</v>
      </c>
      <c r="G16" s="437" t="s">
        <v>448</v>
      </c>
    </row>
    <row r="17" spans="2:7">
      <c r="B17" s="433" t="s">
        <v>254</v>
      </c>
      <c r="C17" s="434">
        <v>25</v>
      </c>
      <c r="D17" s="434">
        <v>25</v>
      </c>
      <c r="E17" s="434">
        <v>2004</v>
      </c>
      <c r="F17" s="445" t="s">
        <v>470</v>
      </c>
      <c r="G17" s="437" t="s">
        <v>448</v>
      </c>
    </row>
    <row r="18" spans="2:7" ht="21.75">
      <c r="B18" s="433" t="s">
        <v>19</v>
      </c>
      <c r="C18" s="434">
        <v>260</v>
      </c>
      <c r="D18" s="434">
        <v>260</v>
      </c>
      <c r="E18" s="434">
        <v>1976</v>
      </c>
      <c r="F18" s="461" t="s">
        <v>471</v>
      </c>
      <c r="G18" s="437" t="s">
        <v>449</v>
      </c>
    </row>
    <row r="19" spans="2:7" ht="21.75">
      <c r="B19" s="433" t="s">
        <v>20</v>
      </c>
      <c r="C19" s="434">
        <v>20</v>
      </c>
      <c r="D19" s="434">
        <v>20</v>
      </c>
      <c r="E19" s="434">
        <v>1973</v>
      </c>
      <c r="F19" s="461" t="s">
        <v>471</v>
      </c>
      <c r="G19" s="437" t="s">
        <v>449</v>
      </c>
    </row>
    <row r="20" spans="2:7" ht="21.75">
      <c r="B20" s="433" t="s">
        <v>302</v>
      </c>
      <c r="C20" s="434">
        <v>65</v>
      </c>
      <c r="D20" s="434">
        <v>65</v>
      </c>
      <c r="E20" s="434">
        <v>1973</v>
      </c>
      <c r="F20" s="461" t="s">
        <v>471</v>
      </c>
      <c r="G20" s="437" t="s">
        <v>449</v>
      </c>
    </row>
    <row r="21" spans="2:7" s="431" customFormat="1" ht="21.75">
      <c r="B21" s="433" t="s">
        <v>301</v>
      </c>
      <c r="C21" s="434">
        <v>65</v>
      </c>
      <c r="D21" s="434">
        <v>65</v>
      </c>
      <c r="E21" s="434">
        <v>1973</v>
      </c>
      <c r="F21" s="461" t="s">
        <v>471</v>
      </c>
      <c r="G21" s="437" t="s">
        <v>449</v>
      </c>
    </row>
    <row r="22" spans="2:7" ht="22.5" thickBot="1">
      <c r="B22" s="462" t="s">
        <v>21</v>
      </c>
      <c r="C22" s="465">
        <v>70</v>
      </c>
      <c r="D22" s="465">
        <v>70</v>
      </c>
      <c r="E22" s="465">
        <v>1975</v>
      </c>
      <c r="F22" s="822" t="s">
        <v>471</v>
      </c>
      <c r="G22" s="448" t="s">
        <v>449</v>
      </c>
    </row>
    <row r="23" spans="2:7" ht="22.5" thickTop="1">
      <c r="B23" s="463" t="s">
        <v>255</v>
      </c>
      <c r="C23" s="464">
        <f>SUM(C11:C12,C13,C14,C15,C16:C17,C18:C22)</f>
        <v>1865</v>
      </c>
      <c r="D23" s="464">
        <f>SUM(D11:D12,D13,D14,D15,D16:D17,D18:D22)</f>
        <v>1840</v>
      </c>
      <c r="E23" s="446"/>
      <c r="F23" s="466"/>
      <c r="G23" s="473"/>
    </row>
    <row r="24" spans="2:7" ht="13.5" thickBot="1">
      <c r="B24" s="462" t="s">
        <v>25</v>
      </c>
      <c r="C24" s="469">
        <v>90</v>
      </c>
      <c r="D24" s="465">
        <v>90</v>
      </c>
      <c r="E24" s="469"/>
      <c r="F24" s="471"/>
      <c r="G24" s="448" t="s">
        <v>448</v>
      </c>
    </row>
    <row r="25" spans="2:7" ht="65.25" thickTop="1" thickBot="1">
      <c r="B25" s="468" t="s">
        <v>97</v>
      </c>
      <c r="C25" s="470">
        <v>670</v>
      </c>
      <c r="D25" s="825">
        <v>670</v>
      </c>
      <c r="E25" s="470"/>
      <c r="F25" s="472" t="s">
        <v>472</v>
      </c>
      <c r="G25" s="473"/>
    </row>
    <row r="26" spans="2:7" ht="14.25" thickTop="1" thickBot="1">
      <c r="B26" s="476" t="s">
        <v>256</v>
      </c>
      <c r="C26" s="478">
        <f>C23+C24+C25</f>
        <v>2625</v>
      </c>
      <c r="D26" s="455">
        <f>D23+D24+D25</f>
        <v>2600</v>
      </c>
      <c r="E26" s="480"/>
      <c r="F26" s="457"/>
      <c r="G26" s="456"/>
    </row>
    <row r="27" spans="2:7" ht="13.5" thickTop="1">
      <c r="B27" s="477"/>
      <c r="C27" s="479"/>
      <c r="D27" s="138"/>
      <c r="E27" s="481"/>
      <c r="F27" s="16"/>
      <c r="G27" s="77"/>
    </row>
    <row r="28" spans="2:7">
      <c r="B28" s="130" t="s">
        <v>444</v>
      </c>
    </row>
    <row r="29" spans="2:7" ht="63">
      <c r="B29" s="433" t="s">
        <v>246</v>
      </c>
      <c r="C29" s="434">
        <v>665</v>
      </c>
      <c r="D29" s="434">
        <v>640</v>
      </c>
      <c r="E29" s="434">
        <v>1981</v>
      </c>
      <c r="F29" s="435" t="s">
        <v>461</v>
      </c>
      <c r="G29" s="437" t="s">
        <v>448</v>
      </c>
    </row>
    <row r="30" spans="2:7" s="431" customFormat="1" ht="42">
      <c r="B30" s="433" t="s">
        <v>18</v>
      </c>
      <c r="C30" s="434">
        <v>260</v>
      </c>
      <c r="D30" s="434">
        <v>260</v>
      </c>
      <c r="E30" s="434">
        <v>1974</v>
      </c>
      <c r="F30" s="435" t="s">
        <v>473</v>
      </c>
      <c r="G30" s="437" t="s">
        <v>449</v>
      </c>
    </row>
    <row r="31" spans="2:7">
      <c r="B31" s="432"/>
      <c r="C31" s="28"/>
      <c r="D31" s="28"/>
      <c r="E31" s="28"/>
      <c r="F31" s="50"/>
      <c r="G31" s="77"/>
    </row>
    <row r="32" spans="2:7">
      <c r="B32" s="130" t="s">
        <v>443</v>
      </c>
    </row>
    <row r="33" spans="2:7" ht="31.5">
      <c r="B33" s="433" t="s">
        <v>249</v>
      </c>
      <c r="C33" s="434">
        <v>10</v>
      </c>
      <c r="D33" s="434">
        <v>10</v>
      </c>
      <c r="E33" s="434">
        <v>1954</v>
      </c>
      <c r="F33" s="460" t="s">
        <v>450</v>
      </c>
      <c r="G33" s="788" t="s">
        <v>448</v>
      </c>
    </row>
    <row r="34" spans="2:7" ht="31.5">
      <c r="B34" s="433" t="s">
        <v>22</v>
      </c>
      <c r="C34" s="434">
        <v>10</v>
      </c>
      <c r="D34" s="434">
        <v>10</v>
      </c>
      <c r="E34" s="434">
        <v>1953</v>
      </c>
      <c r="F34" s="460" t="s">
        <v>451</v>
      </c>
      <c r="G34" s="788" t="s">
        <v>448</v>
      </c>
    </row>
    <row r="35" spans="2:7" ht="21.75">
      <c r="B35" s="433" t="s">
        <v>23</v>
      </c>
      <c r="C35" s="434">
        <v>60</v>
      </c>
      <c r="D35" s="434">
        <v>60</v>
      </c>
      <c r="E35" s="434">
        <v>1995</v>
      </c>
      <c r="F35" s="461" t="s">
        <v>452</v>
      </c>
      <c r="G35" s="437" t="s">
        <v>448</v>
      </c>
    </row>
    <row r="36" spans="2:7" ht="21">
      <c r="B36" s="433" t="s">
        <v>24</v>
      </c>
      <c r="C36" s="434">
        <v>265</v>
      </c>
      <c r="D36" s="434">
        <v>265</v>
      </c>
      <c r="E36" s="434">
        <v>1970</v>
      </c>
      <c r="F36" s="435" t="s">
        <v>453</v>
      </c>
      <c r="G36" s="788"/>
    </row>
  </sheetData>
  <mergeCells count="6">
    <mergeCell ref="G8:G9"/>
    <mergeCell ref="E8:E9"/>
    <mergeCell ref="B8:B10"/>
    <mergeCell ref="F8:F10"/>
    <mergeCell ref="C8:C9"/>
    <mergeCell ref="D8:D9"/>
  </mergeCells>
  <phoneticPr fontId="13" type="noConversion"/>
  <hyperlinks>
    <hyperlink ref="A2" location="Indholdsfortegnelse!A1" display="Indholdsfortegnelse"/>
  </hyperlinks>
  <pageMargins left="0.25" right="0.25" top="0.75" bottom="0.75" header="0.3" footer="0.3"/>
  <pageSetup paperSize="9" scale="3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>
    <tabColor theme="9" tint="0.39997558519241921"/>
    <pageSetUpPr fitToPage="1"/>
  </sheetPr>
  <dimension ref="A1:G30"/>
  <sheetViews>
    <sheetView workbookViewId="0">
      <selection activeCell="F17" sqref="F17"/>
    </sheetView>
  </sheetViews>
  <sheetFormatPr defaultRowHeight="12.75"/>
  <cols>
    <col min="1" max="1" width="9.140625" customWidth="1"/>
    <col min="2" max="2" width="25.7109375" customWidth="1"/>
    <col min="3" max="4" width="10.7109375" customWidth="1"/>
    <col min="5" max="5" width="8.7109375" customWidth="1"/>
    <col min="6" max="6" width="35.7109375" customWidth="1"/>
    <col min="7" max="7" width="7.7109375" customWidth="1"/>
  </cols>
  <sheetData>
    <row r="1" spans="1:7">
      <c r="A1" s="130" t="s">
        <v>42</v>
      </c>
      <c r="D1" s="24"/>
    </row>
    <row r="2" spans="1:7">
      <c r="A2" s="132" t="s">
        <v>56</v>
      </c>
    </row>
    <row r="6" spans="1:7" ht="18">
      <c r="B6" s="667" t="s">
        <v>456</v>
      </c>
    </row>
    <row r="7" spans="1:7" s="789" customFormat="1">
      <c r="B7" s="130" t="s">
        <v>455</v>
      </c>
    </row>
    <row r="8" spans="1:7" ht="12.75" customHeight="1">
      <c r="B8" s="884" t="s">
        <v>16</v>
      </c>
      <c r="C8" s="885" t="s">
        <v>445</v>
      </c>
      <c r="D8" s="885" t="s">
        <v>446</v>
      </c>
      <c r="E8" s="884" t="s">
        <v>146</v>
      </c>
      <c r="F8" s="884" t="s">
        <v>17</v>
      </c>
      <c r="G8" s="884" t="s">
        <v>250</v>
      </c>
    </row>
    <row r="9" spans="1:7">
      <c r="B9" s="884"/>
      <c r="C9" s="886"/>
      <c r="D9" s="886"/>
      <c r="E9" s="884"/>
      <c r="F9" s="884"/>
      <c r="G9" s="884"/>
    </row>
    <row r="10" spans="1:7">
      <c r="B10" s="884"/>
      <c r="C10" s="821" t="s">
        <v>447</v>
      </c>
      <c r="D10" s="821" t="s">
        <v>447</v>
      </c>
      <c r="E10" s="694" t="s">
        <v>0</v>
      </c>
      <c r="F10" s="884"/>
      <c r="G10" s="821" t="s">
        <v>147</v>
      </c>
    </row>
    <row r="11" spans="1:7" ht="21.75">
      <c r="B11" s="826" t="s">
        <v>231</v>
      </c>
      <c r="C11" s="442">
        <v>410</v>
      </c>
      <c r="D11" s="442">
        <v>380</v>
      </c>
      <c r="E11" s="442">
        <v>1991</v>
      </c>
      <c r="F11" s="826" t="s">
        <v>474</v>
      </c>
      <c r="G11" s="442" t="s">
        <v>448</v>
      </c>
    </row>
    <row r="12" spans="1:7">
      <c r="B12" s="826" t="s">
        <v>232</v>
      </c>
      <c r="C12" s="442">
        <v>35</v>
      </c>
      <c r="D12" s="442">
        <f>C12</f>
        <v>35</v>
      </c>
      <c r="E12" s="442">
        <v>2009</v>
      </c>
      <c r="F12" s="826" t="s">
        <v>457</v>
      </c>
      <c r="G12" s="437" t="s">
        <v>448</v>
      </c>
    </row>
    <row r="13" spans="1:7" ht="21.75">
      <c r="B13" s="826" t="s">
        <v>233</v>
      </c>
      <c r="C13" s="442">
        <v>410</v>
      </c>
      <c r="D13" s="442">
        <v>380</v>
      </c>
      <c r="E13" s="442">
        <v>1998</v>
      </c>
      <c r="F13" s="444" t="s">
        <v>474</v>
      </c>
      <c r="G13" s="437" t="s">
        <v>448</v>
      </c>
    </row>
    <row r="14" spans="1:7" ht="21.75">
      <c r="B14" s="826" t="s">
        <v>234</v>
      </c>
      <c r="C14" s="442">
        <v>430</v>
      </c>
      <c r="D14" s="442">
        <v>390</v>
      </c>
      <c r="E14" s="442">
        <v>1997</v>
      </c>
      <c r="F14" s="444" t="s">
        <v>475</v>
      </c>
      <c r="G14" s="437" t="s">
        <v>448</v>
      </c>
    </row>
    <row r="15" spans="1:7" ht="63.75">
      <c r="B15" s="826" t="s">
        <v>235</v>
      </c>
      <c r="C15" s="442">
        <v>380</v>
      </c>
      <c r="D15" s="442">
        <v>360</v>
      </c>
      <c r="E15" s="442">
        <v>1984</v>
      </c>
      <c r="F15" s="826" t="s">
        <v>476</v>
      </c>
      <c r="G15" s="437" t="s">
        <v>448</v>
      </c>
    </row>
    <row r="16" spans="1:7" ht="21.75">
      <c r="B16" s="443" t="s">
        <v>236</v>
      </c>
      <c r="C16" s="436">
        <v>15</v>
      </c>
      <c r="D16" s="436">
        <v>15</v>
      </c>
      <c r="E16" s="436">
        <v>1986</v>
      </c>
      <c r="F16" s="443" t="s">
        <v>471</v>
      </c>
      <c r="G16" s="437" t="s">
        <v>449</v>
      </c>
    </row>
    <row r="17" spans="2:7" ht="21.75">
      <c r="B17" s="826" t="s">
        <v>237</v>
      </c>
      <c r="C17" s="442">
        <v>400</v>
      </c>
      <c r="D17" s="442">
        <v>370</v>
      </c>
      <c r="E17" s="442">
        <v>1992</v>
      </c>
      <c r="F17" s="461" t="s">
        <v>474</v>
      </c>
      <c r="G17" s="437" t="s">
        <v>448</v>
      </c>
    </row>
    <row r="18" spans="2:7" ht="13.5" thickBot="1">
      <c r="B18" s="827" t="s">
        <v>96</v>
      </c>
      <c r="C18" s="828">
        <v>90</v>
      </c>
      <c r="D18" s="829">
        <v>90</v>
      </c>
      <c r="E18" s="475">
        <v>1982</v>
      </c>
      <c r="F18" s="474" t="s">
        <v>477</v>
      </c>
      <c r="G18" s="448" t="s">
        <v>448</v>
      </c>
    </row>
    <row r="19" spans="2:7" ht="23.25" thickTop="1" thickBot="1">
      <c r="B19" s="450" t="s">
        <v>255</v>
      </c>
      <c r="C19" s="451">
        <f>SUM(C11,C12:C13,C14:C15,C16:C17,C18)</f>
        <v>2170</v>
      </c>
      <c r="D19" s="452">
        <f>SUM(D11,D12:D13,D14:D15,D16:D17,D18)</f>
        <v>2020</v>
      </c>
      <c r="E19" s="453"/>
      <c r="F19" s="450"/>
      <c r="G19" s="456"/>
    </row>
    <row r="20" spans="2:7" ht="13.5" thickTop="1">
      <c r="B20" s="830"/>
      <c r="C20" s="831"/>
      <c r="D20" s="831"/>
      <c r="E20" s="831"/>
      <c r="F20" s="830"/>
      <c r="G20" s="467"/>
    </row>
    <row r="21" spans="2:7" ht="88.5" customHeight="1" thickBot="1">
      <c r="B21" s="832" t="s">
        <v>97</v>
      </c>
      <c r="C21" s="833">
        <v>1825</v>
      </c>
      <c r="D21" s="833">
        <v>1825</v>
      </c>
      <c r="E21" s="475"/>
      <c r="F21" s="474" t="s">
        <v>478</v>
      </c>
      <c r="G21" s="448"/>
    </row>
    <row r="22" spans="2:7" ht="14.25" thickTop="1" thickBot="1">
      <c r="B22" s="454" t="s">
        <v>256</v>
      </c>
      <c r="C22" s="455">
        <f>C19+C21</f>
        <v>3995</v>
      </c>
      <c r="D22" s="455">
        <f>+D21+D19</f>
        <v>3845</v>
      </c>
      <c r="E22" s="456"/>
      <c r="F22" s="457"/>
      <c r="G22" s="480"/>
    </row>
    <row r="23" spans="2:7" ht="13.5" thickTop="1">
      <c r="B23" s="140"/>
      <c r="C23" s="447"/>
      <c r="D23" s="447"/>
      <c r="E23" s="449"/>
      <c r="F23" s="137"/>
      <c r="G23" s="823"/>
    </row>
    <row r="24" spans="2:7">
      <c r="B24" s="130" t="s">
        <v>444</v>
      </c>
    </row>
    <row r="25" spans="2:7" s="82" customFormat="1" ht="42.75">
      <c r="B25" s="440" t="s">
        <v>238</v>
      </c>
      <c r="C25" s="441">
        <v>380</v>
      </c>
      <c r="D25" s="441">
        <v>360</v>
      </c>
      <c r="E25" s="441">
        <v>1985</v>
      </c>
      <c r="F25" s="440" t="s">
        <v>458</v>
      </c>
      <c r="G25" s="788" t="s">
        <v>448</v>
      </c>
    </row>
    <row r="26" spans="2:7">
      <c r="B26" s="140"/>
      <c r="C26" s="23"/>
      <c r="D26" s="23"/>
      <c r="E26" s="5"/>
      <c r="F26" s="139"/>
    </row>
    <row r="27" spans="2:7">
      <c r="B27" s="130" t="s">
        <v>443</v>
      </c>
    </row>
    <row r="28" spans="2:7" ht="32.25">
      <c r="B28" s="458" t="s">
        <v>240</v>
      </c>
      <c r="C28" s="459">
        <v>665</v>
      </c>
      <c r="D28" s="459">
        <v>665</v>
      </c>
      <c r="E28" s="459">
        <v>1979</v>
      </c>
      <c r="F28" s="458" t="s">
        <v>459</v>
      </c>
      <c r="G28" s="788" t="s">
        <v>448</v>
      </c>
    </row>
    <row r="29" spans="2:7" ht="21.75">
      <c r="B29" s="440" t="s">
        <v>239</v>
      </c>
      <c r="C29" s="441">
        <v>220</v>
      </c>
      <c r="D29" s="441">
        <f>C29</f>
        <v>220</v>
      </c>
      <c r="E29" s="441">
        <v>1977</v>
      </c>
      <c r="F29" s="440" t="s">
        <v>460</v>
      </c>
      <c r="G29" s="788" t="s">
        <v>448</v>
      </c>
    </row>
    <row r="30" spans="2:7">
      <c r="B30" s="66"/>
      <c r="C30" s="23"/>
      <c r="D30" s="23"/>
      <c r="E30" s="19"/>
      <c r="F30" s="19"/>
    </row>
  </sheetData>
  <mergeCells count="6">
    <mergeCell ref="G8:G9"/>
    <mergeCell ref="E8:E9"/>
    <mergeCell ref="B8:B10"/>
    <mergeCell ref="F8:F10"/>
    <mergeCell ref="C8:C9"/>
    <mergeCell ref="D8:D9"/>
  </mergeCells>
  <phoneticPr fontId="13" type="noConversion"/>
  <hyperlinks>
    <hyperlink ref="A2" location="Indholdsfortegnelse!A1" display="Indholdsfortegnelse"/>
  </hyperlinks>
  <pageMargins left="0.25" right="0.25" top="0.75" bottom="0.75" header="0.3" footer="0.3"/>
  <pageSetup paperSize="9" scale="2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">
    <tabColor theme="2"/>
  </sheetPr>
  <dimension ref="A1:AC34"/>
  <sheetViews>
    <sheetView workbookViewId="0"/>
  </sheetViews>
  <sheetFormatPr defaultRowHeight="12.75"/>
  <cols>
    <col min="1" max="1" width="9.140625" style="482"/>
    <col min="2" max="2" width="28.5703125" customWidth="1"/>
    <col min="3" max="3" width="14.28515625" style="482" customWidth="1"/>
    <col min="4" max="29" width="7.140625" customWidth="1"/>
  </cols>
  <sheetData>
    <row r="1" spans="1:29">
      <c r="A1" s="130" t="s">
        <v>28</v>
      </c>
      <c r="D1" s="482"/>
      <c r="E1" s="482"/>
      <c r="F1" s="482"/>
      <c r="G1" s="482"/>
      <c r="H1" s="482"/>
      <c r="I1" s="482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</row>
    <row r="2" spans="1:29" s="482" customFormat="1">
      <c r="A2" s="132" t="s">
        <v>300</v>
      </c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</row>
    <row r="3" spans="1:29" s="482" customFormat="1"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</row>
    <row r="4" spans="1:29">
      <c r="B4" s="16"/>
      <c r="C4" s="28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</row>
    <row r="5" spans="1:29">
      <c r="B5" s="888" t="s">
        <v>324</v>
      </c>
      <c r="C5" s="861" t="s">
        <v>248</v>
      </c>
      <c r="D5" s="890">
        <v>2016</v>
      </c>
      <c r="E5" s="890"/>
      <c r="F5" s="890">
        <v>2017</v>
      </c>
      <c r="G5" s="890"/>
      <c r="H5" s="890">
        <v>2018</v>
      </c>
      <c r="I5" s="890"/>
      <c r="J5" s="890">
        <v>2019</v>
      </c>
      <c r="K5" s="890"/>
      <c r="L5" s="890">
        <v>2020</v>
      </c>
      <c r="M5" s="890"/>
      <c r="N5" s="890">
        <v>2021</v>
      </c>
      <c r="O5" s="890"/>
      <c r="P5" s="890">
        <v>2022</v>
      </c>
      <c r="Q5" s="890"/>
      <c r="R5" s="890">
        <v>2023</v>
      </c>
      <c r="S5" s="890"/>
      <c r="T5" s="890">
        <v>2024</v>
      </c>
      <c r="U5" s="890"/>
      <c r="V5" s="864">
        <v>2025</v>
      </c>
      <c r="W5" s="891"/>
      <c r="X5" s="858">
        <v>2030</v>
      </c>
      <c r="Y5" s="891"/>
      <c r="Z5" s="858">
        <v>2040</v>
      </c>
      <c r="AA5" s="864"/>
      <c r="AB5" s="158"/>
      <c r="AC5" s="79"/>
    </row>
    <row r="6" spans="1:29">
      <c r="B6" s="889"/>
      <c r="C6" s="863"/>
      <c r="D6" s="159" t="s">
        <v>11</v>
      </c>
      <c r="E6" s="160" t="s">
        <v>12</v>
      </c>
      <c r="F6" s="159" t="s">
        <v>11</v>
      </c>
      <c r="G6" s="160" t="s">
        <v>12</v>
      </c>
      <c r="H6" s="159" t="s">
        <v>11</v>
      </c>
      <c r="I6" s="160" t="s">
        <v>12</v>
      </c>
      <c r="J6" s="159" t="s">
        <v>11</v>
      </c>
      <c r="K6" s="160" t="s">
        <v>12</v>
      </c>
      <c r="L6" s="159" t="s">
        <v>11</v>
      </c>
      <c r="M6" s="159" t="s">
        <v>12</v>
      </c>
      <c r="N6" s="159" t="s">
        <v>11</v>
      </c>
      <c r="O6" s="159" t="s">
        <v>12</v>
      </c>
      <c r="P6" s="159" t="s">
        <v>11</v>
      </c>
      <c r="Q6" s="159" t="s">
        <v>12</v>
      </c>
      <c r="R6" s="159" t="s">
        <v>11</v>
      </c>
      <c r="S6" s="159" t="s">
        <v>12</v>
      </c>
      <c r="T6" s="159" t="s">
        <v>11</v>
      </c>
      <c r="U6" s="159" t="s">
        <v>12</v>
      </c>
      <c r="V6" s="160" t="s">
        <v>11</v>
      </c>
      <c r="W6" s="162" t="s">
        <v>12</v>
      </c>
      <c r="X6" s="161" t="s">
        <v>11</v>
      </c>
      <c r="Y6" s="162" t="s">
        <v>12</v>
      </c>
      <c r="Z6" s="161" t="s">
        <v>11</v>
      </c>
      <c r="AA6" s="159" t="s">
        <v>12</v>
      </c>
      <c r="AB6" s="129"/>
      <c r="AC6" s="129"/>
    </row>
    <row r="7" spans="1:29">
      <c r="B7" s="579" t="s">
        <v>317</v>
      </c>
      <c r="C7" s="579" t="s">
        <v>310</v>
      </c>
      <c r="D7" s="151">
        <v>1700</v>
      </c>
      <c r="E7" s="156">
        <v>1300</v>
      </c>
      <c r="F7" s="151">
        <f t="shared" ref="F7:F15" si="0">D7</f>
        <v>1700</v>
      </c>
      <c r="G7" s="161">
        <f t="shared" ref="G7:AA15" si="1">E7</f>
        <v>1300</v>
      </c>
      <c r="H7" s="156">
        <f t="shared" si="1"/>
        <v>1700</v>
      </c>
      <c r="I7" s="156">
        <f t="shared" si="1"/>
        <v>1300</v>
      </c>
      <c r="J7" s="151">
        <f t="shared" si="1"/>
        <v>1700</v>
      </c>
      <c r="K7" s="161">
        <f t="shared" si="1"/>
        <v>1300</v>
      </c>
      <c r="L7" s="156">
        <f t="shared" si="1"/>
        <v>1700</v>
      </c>
      <c r="M7" s="156">
        <f t="shared" si="1"/>
        <v>1300</v>
      </c>
      <c r="N7" s="151">
        <f t="shared" si="1"/>
        <v>1700</v>
      </c>
      <c r="O7" s="161">
        <f t="shared" si="1"/>
        <v>1300</v>
      </c>
      <c r="P7" s="156">
        <f t="shared" si="1"/>
        <v>1700</v>
      </c>
      <c r="Q7" s="156">
        <f t="shared" si="1"/>
        <v>1300</v>
      </c>
      <c r="R7" s="151">
        <f t="shared" si="1"/>
        <v>1700</v>
      </c>
      <c r="S7" s="161">
        <f t="shared" si="1"/>
        <v>1300</v>
      </c>
      <c r="T7" s="156">
        <f t="shared" si="1"/>
        <v>1700</v>
      </c>
      <c r="U7" s="156">
        <f t="shared" si="1"/>
        <v>1300</v>
      </c>
      <c r="V7" s="151">
        <f t="shared" si="1"/>
        <v>1700</v>
      </c>
      <c r="W7" s="163">
        <f t="shared" si="1"/>
        <v>1300</v>
      </c>
      <c r="X7" s="156">
        <f t="shared" si="1"/>
        <v>1700</v>
      </c>
      <c r="Y7" s="163">
        <f t="shared" si="1"/>
        <v>1300</v>
      </c>
      <c r="Z7" s="156">
        <f t="shared" si="1"/>
        <v>1700</v>
      </c>
      <c r="AA7" s="161">
        <f t="shared" si="1"/>
        <v>1300</v>
      </c>
      <c r="AB7" s="129"/>
      <c r="AC7" s="129"/>
    </row>
    <row r="8" spans="1:29">
      <c r="B8" s="577" t="s">
        <v>318</v>
      </c>
      <c r="C8" s="577" t="s">
        <v>311</v>
      </c>
      <c r="D8" s="149">
        <v>585</v>
      </c>
      <c r="E8" s="152">
        <v>600</v>
      </c>
      <c r="F8" s="149">
        <f t="shared" si="0"/>
        <v>585</v>
      </c>
      <c r="G8" s="154">
        <f t="shared" si="1"/>
        <v>600</v>
      </c>
      <c r="H8" s="141">
        <f t="shared" si="1"/>
        <v>585</v>
      </c>
      <c r="I8" s="141">
        <f t="shared" si="1"/>
        <v>600</v>
      </c>
      <c r="J8" s="149">
        <f t="shared" si="1"/>
        <v>585</v>
      </c>
      <c r="K8" s="154">
        <f t="shared" si="1"/>
        <v>600</v>
      </c>
      <c r="L8" s="141">
        <f t="shared" si="1"/>
        <v>585</v>
      </c>
      <c r="M8" s="141">
        <f t="shared" si="1"/>
        <v>600</v>
      </c>
      <c r="N8" s="149">
        <f t="shared" si="1"/>
        <v>585</v>
      </c>
      <c r="O8" s="154">
        <f t="shared" si="1"/>
        <v>600</v>
      </c>
      <c r="P8" s="141">
        <f t="shared" si="1"/>
        <v>585</v>
      </c>
      <c r="Q8" s="141">
        <f t="shared" si="1"/>
        <v>600</v>
      </c>
      <c r="R8" s="149">
        <f t="shared" si="1"/>
        <v>585</v>
      </c>
      <c r="S8" s="154">
        <f t="shared" si="1"/>
        <v>600</v>
      </c>
      <c r="T8" s="141">
        <f t="shared" si="1"/>
        <v>585</v>
      </c>
      <c r="U8" s="141">
        <f t="shared" si="1"/>
        <v>600</v>
      </c>
      <c r="V8" s="149">
        <f t="shared" si="1"/>
        <v>585</v>
      </c>
      <c r="W8" s="165">
        <f t="shared" si="1"/>
        <v>600</v>
      </c>
      <c r="X8" s="141">
        <f t="shared" si="1"/>
        <v>585</v>
      </c>
      <c r="Y8" s="165">
        <f t="shared" si="1"/>
        <v>600</v>
      </c>
      <c r="Z8" s="141">
        <f t="shared" si="1"/>
        <v>585</v>
      </c>
      <c r="AA8" s="154">
        <f t="shared" si="1"/>
        <v>600</v>
      </c>
      <c r="AB8" s="129"/>
      <c r="AC8" s="129"/>
    </row>
    <row r="9" spans="1:29">
      <c r="B9" s="577" t="s">
        <v>318</v>
      </c>
      <c r="C9" s="577" t="s">
        <v>312</v>
      </c>
      <c r="D9" s="149">
        <v>0</v>
      </c>
      <c r="E9" s="152">
        <v>0</v>
      </c>
      <c r="F9" s="149">
        <f t="shared" si="0"/>
        <v>0</v>
      </c>
      <c r="G9" s="154">
        <f t="shared" si="1"/>
        <v>0</v>
      </c>
      <c r="H9" s="141">
        <f t="shared" si="1"/>
        <v>0</v>
      </c>
      <c r="I9" s="141">
        <f t="shared" si="1"/>
        <v>0</v>
      </c>
      <c r="J9" s="149">
        <v>400</v>
      </c>
      <c r="K9" s="150">
        <v>400</v>
      </c>
      <c r="L9" s="141">
        <f>J9</f>
        <v>400</v>
      </c>
      <c r="M9" s="141">
        <f t="shared" si="1"/>
        <v>400</v>
      </c>
      <c r="N9" s="149">
        <f t="shared" si="1"/>
        <v>400</v>
      </c>
      <c r="O9" s="154">
        <f t="shared" si="1"/>
        <v>400</v>
      </c>
      <c r="P9" s="141">
        <f t="shared" si="1"/>
        <v>400</v>
      </c>
      <c r="Q9" s="141">
        <f t="shared" si="1"/>
        <v>400</v>
      </c>
      <c r="R9" s="149">
        <f t="shared" si="1"/>
        <v>400</v>
      </c>
      <c r="S9" s="154">
        <f t="shared" si="1"/>
        <v>400</v>
      </c>
      <c r="T9" s="141">
        <f t="shared" si="1"/>
        <v>400</v>
      </c>
      <c r="U9" s="141">
        <f t="shared" si="1"/>
        <v>400</v>
      </c>
      <c r="V9" s="149">
        <f t="shared" si="1"/>
        <v>400</v>
      </c>
      <c r="W9" s="165">
        <f t="shared" si="1"/>
        <v>400</v>
      </c>
      <c r="X9" s="141">
        <f t="shared" si="1"/>
        <v>400</v>
      </c>
      <c r="Y9" s="165">
        <f t="shared" si="1"/>
        <v>400</v>
      </c>
      <c r="Z9" s="141">
        <f t="shared" si="1"/>
        <v>400</v>
      </c>
      <c r="AA9" s="154">
        <f t="shared" si="1"/>
        <v>400</v>
      </c>
      <c r="AB9" s="129"/>
      <c r="AC9" s="129"/>
    </row>
    <row r="10" spans="1:29">
      <c r="B10" s="577" t="s">
        <v>319</v>
      </c>
      <c r="C10" s="577" t="s">
        <v>313</v>
      </c>
      <c r="D10" s="153">
        <v>1632</v>
      </c>
      <c r="E10" s="152">
        <v>1632</v>
      </c>
      <c r="F10" s="153">
        <f t="shared" si="0"/>
        <v>1632</v>
      </c>
      <c r="G10" s="150">
        <f t="shared" ref="G10:L15" si="2">E10</f>
        <v>1632</v>
      </c>
      <c r="H10" s="152">
        <f t="shared" si="2"/>
        <v>1632</v>
      </c>
      <c r="I10" s="152">
        <f t="shared" si="2"/>
        <v>1632</v>
      </c>
      <c r="J10" s="153">
        <f t="shared" si="2"/>
        <v>1632</v>
      </c>
      <c r="K10" s="150">
        <f t="shared" si="2"/>
        <v>1632</v>
      </c>
      <c r="L10" s="152">
        <f t="shared" si="2"/>
        <v>1632</v>
      </c>
      <c r="M10" s="152">
        <f t="shared" si="1"/>
        <v>1632</v>
      </c>
      <c r="N10" s="153">
        <f t="shared" si="1"/>
        <v>1632</v>
      </c>
      <c r="O10" s="150">
        <f t="shared" si="1"/>
        <v>1632</v>
      </c>
      <c r="P10" s="152">
        <f t="shared" si="1"/>
        <v>1632</v>
      </c>
      <c r="Q10" s="152">
        <f t="shared" si="1"/>
        <v>1632</v>
      </c>
      <c r="R10" s="153">
        <f t="shared" si="1"/>
        <v>1632</v>
      </c>
      <c r="S10" s="150">
        <f t="shared" si="1"/>
        <v>1632</v>
      </c>
      <c r="T10" s="152">
        <f t="shared" si="1"/>
        <v>1632</v>
      </c>
      <c r="U10" s="152">
        <f t="shared" si="1"/>
        <v>1632</v>
      </c>
      <c r="V10" s="153">
        <f t="shared" si="1"/>
        <v>1632</v>
      </c>
      <c r="W10" s="164">
        <f t="shared" si="1"/>
        <v>1632</v>
      </c>
      <c r="X10" s="152">
        <f t="shared" si="1"/>
        <v>1632</v>
      </c>
      <c r="Y10" s="164">
        <f t="shared" si="1"/>
        <v>1632</v>
      </c>
      <c r="Z10" s="152">
        <f t="shared" si="1"/>
        <v>1632</v>
      </c>
      <c r="AA10" s="150">
        <f t="shared" si="1"/>
        <v>1632</v>
      </c>
      <c r="AB10" s="129"/>
      <c r="AC10" s="129"/>
    </row>
    <row r="11" spans="1:29">
      <c r="B11" s="577" t="s">
        <v>320</v>
      </c>
      <c r="C11" s="577" t="s">
        <v>314</v>
      </c>
      <c r="D11" s="149">
        <v>740</v>
      </c>
      <c r="E11" s="152">
        <v>680</v>
      </c>
      <c r="F11" s="149">
        <f t="shared" si="0"/>
        <v>740</v>
      </c>
      <c r="G11" s="154">
        <f t="shared" si="2"/>
        <v>680</v>
      </c>
      <c r="H11" s="141">
        <f t="shared" si="2"/>
        <v>740</v>
      </c>
      <c r="I11" s="141">
        <f t="shared" si="2"/>
        <v>680</v>
      </c>
      <c r="J11" s="149">
        <f t="shared" si="2"/>
        <v>740</v>
      </c>
      <c r="K11" s="154">
        <f t="shared" si="2"/>
        <v>680</v>
      </c>
      <c r="L11" s="141">
        <f t="shared" si="2"/>
        <v>740</v>
      </c>
      <c r="M11" s="141">
        <f t="shared" si="1"/>
        <v>680</v>
      </c>
      <c r="N11" s="149">
        <f t="shared" si="1"/>
        <v>740</v>
      </c>
      <c r="O11" s="154">
        <f t="shared" si="1"/>
        <v>680</v>
      </c>
      <c r="P11" s="141">
        <f t="shared" si="1"/>
        <v>740</v>
      </c>
      <c r="Q11" s="141">
        <f t="shared" si="1"/>
        <v>680</v>
      </c>
      <c r="R11" s="149">
        <f t="shared" si="1"/>
        <v>740</v>
      </c>
      <c r="S11" s="154">
        <f t="shared" si="1"/>
        <v>680</v>
      </c>
      <c r="T11" s="141">
        <f t="shared" si="1"/>
        <v>740</v>
      </c>
      <c r="U11" s="141">
        <f t="shared" si="1"/>
        <v>680</v>
      </c>
      <c r="V11" s="149">
        <f t="shared" si="1"/>
        <v>740</v>
      </c>
      <c r="W11" s="165">
        <f t="shared" si="1"/>
        <v>680</v>
      </c>
      <c r="X11" s="141">
        <f t="shared" si="1"/>
        <v>740</v>
      </c>
      <c r="Y11" s="165">
        <f t="shared" si="1"/>
        <v>680</v>
      </c>
      <c r="Z11" s="141">
        <f t="shared" si="1"/>
        <v>740</v>
      </c>
      <c r="AA11" s="154">
        <f t="shared" si="1"/>
        <v>680</v>
      </c>
      <c r="AB11" s="129"/>
      <c r="AC11" s="129"/>
    </row>
    <row r="12" spans="1:29">
      <c r="B12" s="577" t="s">
        <v>27</v>
      </c>
      <c r="C12" s="577"/>
      <c r="D12" s="153">
        <v>1640</v>
      </c>
      <c r="E12" s="152">
        <v>1500</v>
      </c>
      <c r="F12" s="153">
        <f t="shared" si="0"/>
        <v>1640</v>
      </c>
      <c r="G12" s="150">
        <f t="shared" si="2"/>
        <v>1500</v>
      </c>
      <c r="H12" s="152">
        <f t="shared" si="2"/>
        <v>1640</v>
      </c>
      <c r="I12" s="152">
        <f t="shared" si="2"/>
        <v>1500</v>
      </c>
      <c r="J12" s="153">
        <f t="shared" si="2"/>
        <v>1640</v>
      </c>
      <c r="K12" s="150">
        <f t="shared" si="2"/>
        <v>1500</v>
      </c>
      <c r="L12" s="152">
        <f t="shared" si="2"/>
        <v>1640</v>
      </c>
      <c r="M12" s="152">
        <f t="shared" si="1"/>
        <v>1500</v>
      </c>
      <c r="N12" s="153">
        <v>2500</v>
      </c>
      <c r="O12" s="150">
        <v>2500</v>
      </c>
      <c r="P12" s="152">
        <f>N12</f>
        <v>2500</v>
      </c>
      <c r="Q12" s="152">
        <f>O12</f>
        <v>2500</v>
      </c>
      <c r="R12" s="153">
        <v>3500</v>
      </c>
      <c r="S12" s="150">
        <v>3500</v>
      </c>
      <c r="T12" s="152">
        <f>R12</f>
        <v>3500</v>
      </c>
      <c r="U12" s="152">
        <f t="shared" si="1"/>
        <v>3500</v>
      </c>
      <c r="V12" s="153">
        <f t="shared" si="1"/>
        <v>3500</v>
      </c>
      <c r="W12" s="164">
        <f t="shared" si="1"/>
        <v>3500</v>
      </c>
      <c r="X12" s="152">
        <f t="shared" si="1"/>
        <v>3500</v>
      </c>
      <c r="Y12" s="164">
        <f t="shared" si="1"/>
        <v>3500</v>
      </c>
      <c r="Z12" s="152">
        <f t="shared" si="1"/>
        <v>3500</v>
      </c>
      <c r="AA12" s="150">
        <f t="shared" si="1"/>
        <v>3500</v>
      </c>
      <c r="AB12" s="129"/>
      <c r="AC12" s="129"/>
    </row>
    <row r="13" spans="1:29">
      <c r="B13" s="577" t="s">
        <v>321</v>
      </c>
      <c r="C13" s="577" t="s">
        <v>315</v>
      </c>
      <c r="D13" s="149">
        <v>0</v>
      </c>
      <c r="E13" s="152">
        <v>0</v>
      </c>
      <c r="F13" s="149">
        <f t="shared" si="0"/>
        <v>0</v>
      </c>
      <c r="G13" s="154">
        <f t="shared" si="2"/>
        <v>0</v>
      </c>
      <c r="H13" s="141">
        <f t="shared" si="2"/>
        <v>0</v>
      </c>
      <c r="I13" s="141">
        <f t="shared" si="2"/>
        <v>0</v>
      </c>
      <c r="J13" s="149">
        <f t="shared" si="2"/>
        <v>0</v>
      </c>
      <c r="K13" s="154">
        <f t="shared" si="2"/>
        <v>0</v>
      </c>
      <c r="L13" s="141">
        <v>700</v>
      </c>
      <c r="M13" s="141">
        <v>700</v>
      </c>
      <c r="N13" s="149">
        <f>L13</f>
        <v>700</v>
      </c>
      <c r="O13" s="154">
        <f t="shared" ref="O13:T15" si="3">M13</f>
        <v>700</v>
      </c>
      <c r="P13" s="141">
        <f t="shared" si="3"/>
        <v>700</v>
      </c>
      <c r="Q13" s="141">
        <f t="shared" si="3"/>
        <v>700</v>
      </c>
      <c r="R13" s="149">
        <f t="shared" si="3"/>
        <v>700</v>
      </c>
      <c r="S13" s="154">
        <f t="shared" si="3"/>
        <v>700</v>
      </c>
      <c r="T13" s="141">
        <f t="shared" si="3"/>
        <v>700</v>
      </c>
      <c r="U13" s="141">
        <f t="shared" si="1"/>
        <v>700</v>
      </c>
      <c r="V13" s="149">
        <f t="shared" si="1"/>
        <v>700</v>
      </c>
      <c r="W13" s="165">
        <f t="shared" si="1"/>
        <v>700</v>
      </c>
      <c r="X13" s="141">
        <f t="shared" si="1"/>
        <v>700</v>
      </c>
      <c r="Y13" s="165">
        <f t="shared" si="1"/>
        <v>700</v>
      </c>
      <c r="Z13" s="141">
        <f t="shared" si="1"/>
        <v>700</v>
      </c>
      <c r="AA13" s="154">
        <f t="shared" si="1"/>
        <v>700</v>
      </c>
      <c r="AB13" s="129"/>
      <c r="AC13" s="129"/>
    </row>
    <row r="14" spans="1:29" s="82" customFormat="1">
      <c r="A14" s="482"/>
      <c r="B14" s="577" t="s">
        <v>322</v>
      </c>
      <c r="C14" s="577" t="s">
        <v>316</v>
      </c>
      <c r="D14" s="149">
        <v>590</v>
      </c>
      <c r="E14" s="152">
        <v>600</v>
      </c>
      <c r="F14" s="149">
        <f t="shared" si="0"/>
        <v>590</v>
      </c>
      <c r="G14" s="154">
        <f t="shared" si="2"/>
        <v>600</v>
      </c>
      <c r="H14" s="141">
        <f t="shared" si="2"/>
        <v>590</v>
      </c>
      <c r="I14" s="141">
        <f t="shared" si="2"/>
        <v>600</v>
      </c>
      <c r="J14" s="149">
        <f t="shared" si="2"/>
        <v>590</v>
      </c>
      <c r="K14" s="154">
        <f t="shared" si="2"/>
        <v>600</v>
      </c>
      <c r="L14" s="141">
        <f t="shared" ref="L14:N15" si="4">J14</f>
        <v>590</v>
      </c>
      <c r="M14" s="141">
        <f t="shared" si="4"/>
        <v>600</v>
      </c>
      <c r="N14" s="149">
        <f t="shared" si="4"/>
        <v>590</v>
      </c>
      <c r="O14" s="154">
        <f t="shared" si="3"/>
        <v>600</v>
      </c>
      <c r="P14" s="141">
        <f t="shared" si="3"/>
        <v>590</v>
      </c>
      <c r="Q14" s="141">
        <f t="shared" si="3"/>
        <v>600</v>
      </c>
      <c r="R14" s="149">
        <f t="shared" si="3"/>
        <v>590</v>
      </c>
      <c r="S14" s="154">
        <f t="shared" si="3"/>
        <v>600</v>
      </c>
      <c r="T14" s="141">
        <f t="shared" si="3"/>
        <v>590</v>
      </c>
      <c r="U14" s="141">
        <f t="shared" si="1"/>
        <v>600</v>
      </c>
      <c r="V14" s="149">
        <f t="shared" si="1"/>
        <v>590</v>
      </c>
      <c r="W14" s="165">
        <f t="shared" si="1"/>
        <v>600</v>
      </c>
      <c r="X14" s="141">
        <f t="shared" si="1"/>
        <v>590</v>
      </c>
      <c r="Y14" s="165">
        <f t="shared" si="1"/>
        <v>600</v>
      </c>
      <c r="Z14" s="141">
        <f t="shared" si="1"/>
        <v>590</v>
      </c>
      <c r="AA14" s="154">
        <f t="shared" si="1"/>
        <v>600</v>
      </c>
      <c r="AB14" s="129"/>
      <c r="AC14" s="129"/>
    </row>
    <row r="15" spans="1:29">
      <c r="B15" s="580" t="s">
        <v>323</v>
      </c>
      <c r="C15" s="580" t="s">
        <v>251</v>
      </c>
      <c r="D15" s="143">
        <v>0</v>
      </c>
      <c r="E15" s="145">
        <v>0</v>
      </c>
      <c r="F15" s="143">
        <f t="shared" si="0"/>
        <v>0</v>
      </c>
      <c r="G15" s="147">
        <f t="shared" si="2"/>
        <v>0</v>
      </c>
      <c r="H15" s="146">
        <f t="shared" si="2"/>
        <v>0</v>
      </c>
      <c r="I15" s="146">
        <f t="shared" si="2"/>
        <v>0</v>
      </c>
      <c r="J15" s="143">
        <f t="shared" si="2"/>
        <v>0</v>
      </c>
      <c r="K15" s="147">
        <f t="shared" si="2"/>
        <v>0</v>
      </c>
      <c r="L15" s="146">
        <f t="shared" si="4"/>
        <v>0</v>
      </c>
      <c r="M15" s="146">
        <f t="shared" si="4"/>
        <v>0</v>
      </c>
      <c r="N15" s="143">
        <f t="shared" si="4"/>
        <v>0</v>
      </c>
      <c r="O15" s="147">
        <f t="shared" si="3"/>
        <v>0</v>
      </c>
      <c r="P15" s="146">
        <f t="shared" si="3"/>
        <v>0</v>
      </c>
      <c r="Q15" s="146">
        <f t="shared" si="3"/>
        <v>0</v>
      </c>
      <c r="R15" s="143">
        <v>1400</v>
      </c>
      <c r="S15" s="144">
        <v>1400</v>
      </c>
      <c r="T15" s="146">
        <f>R15</f>
        <v>1400</v>
      </c>
      <c r="U15" s="146">
        <f t="shared" si="1"/>
        <v>1400</v>
      </c>
      <c r="V15" s="143">
        <f t="shared" si="1"/>
        <v>1400</v>
      </c>
      <c r="W15" s="581">
        <f t="shared" si="1"/>
        <v>1400</v>
      </c>
      <c r="X15" s="146">
        <f t="shared" si="1"/>
        <v>1400</v>
      </c>
      <c r="Y15" s="581">
        <f t="shared" si="1"/>
        <v>1400</v>
      </c>
      <c r="Z15" s="146">
        <f t="shared" si="1"/>
        <v>1400</v>
      </c>
      <c r="AA15" s="147">
        <f t="shared" si="1"/>
        <v>1400</v>
      </c>
      <c r="AB15" s="129"/>
      <c r="AC15" s="129"/>
    </row>
    <row r="16" spans="1:29">
      <c r="A16" s="4"/>
      <c r="B16" s="583" t="s">
        <v>326</v>
      </c>
      <c r="C16" s="578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</row>
    <row r="17" spans="1:29" s="482" customFormat="1">
      <c r="B17" s="285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</row>
    <row r="18" spans="1:29">
      <c r="B18" s="130" t="s">
        <v>328</v>
      </c>
      <c r="C18" s="148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</row>
    <row r="19" spans="1:29">
      <c r="B19" s="887" t="s">
        <v>218</v>
      </c>
      <c r="C19" s="887"/>
      <c r="D19" s="887"/>
      <c r="E19" s="887"/>
      <c r="F19" s="887"/>
      <c r="G19" s="887"/>
      <c r="H19" s="887"/>
      <c r="I19" s="887"/>
      <c r="J19" s="887"/>
      <c r="K19" s="887"/>
      <c r="L19" s="887"/>
      <c r="M19" s="157"/>
      <c r="N19" s="157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</row>
    <row r="20" spans="1:29" s="129" customFormat="1">
      <c r="A20" s="482"/>
      <c r="B20" s="887" t="s">
        <v>219</v>
      </c>
      <c r="C20" s="887"/>
      <c r="D20" s="887"/>
      <c r="E20" s="887"/>
      <c r="F20" s="887"/>
      <c r="G20" s="887"/>
      <c r="H20" s="887"/>
      <c r="I20" s="887"/>
      <c r="J20" s="887"/>
      <c r="K20" s="887"/>
      <c r="L20" s="887"/>
      <c r="M20" s="157"/>
      <c r="N20" s="157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</row>
    <row r="21" spans="1:29">
      <c r="B21" s="157" t="s">
        <v>252</v>
      </c>
      <c r="C21" s="483"/>
      <c r="D21" s="157"/>
      <c r="E21" s="157"/>
      <c r="F21" s="157"/>
      <c r="G21" s="157"/>
      <c r="H21" s="157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</row>
    <row r="22" spans="1:29" s="482" customFormat="1"/>
    <row r="23" spans="1:29" s="298" customFormat="1">
      <c r="B23" s="582" t="s">
        <v>329</v>
      </c>
      <c r="C23" s="317"/>
      <c r="D23" s="317"/>
      <c r="E23" s="317"/>
      <c r="F23" s="317"/>
      <c r="G23" s="576"/>
      <c r="H23" s="576"/>
      <c r="I23" s="576"/>
      <c r="J23" s="576"/>
      <c r="K23" s="576"/>
      <c r="L23" s="576"/>
      <c r="M23" s="576"/>
      <c r="N23" s="576"/>
      <c r="O23" s="576"/>
      <c r="P23" s="576"/>
      <c r="Q23" s="576"/>
      <c r="R23" s="576"/>
      <c r="S23" s="576"/>
      <c r="T23" s="576"/>
      <c r="U23" s="576"/>
      <c r="V23" s="576"/>
      <c r="W23" s="576"/>
      <c r="X23" s="576"/>
      <c r="Y23" s="576"/>
      <c r="Z23" s="576"/>
      <c r="AA23" s="576"/>
      <c r="AB23" s="576"/>
      <c r="AC23" s="576"/>
    </row>
    <row r="24" spans="1:29">
      <c r="B24" s="142" t="s">
        <v>327</v>
      </c>
      <c r="C24" s="285"/>
      <c r="D24" s="16"/>
      <c r="E24" s="16"/>
      <c r="F24" s="16"/>
      <c r="G24" s="16"/>
      <c r="H24" s="16"/>
      <c r="I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</row>
    <row r="25" spans="1:29">
      <c r="B25" s="132" t="s">
        <v>325</v>
      </c>
      <c r="C25" s="131"/>
      <c r="F25" s="131"/>
      <c r="J25" s="482"/>
      <c r="K25" s="482"/>
      <c r="L25" s="482"/>
      <c r="M25" s="482"/>
    </row>
    <row r="26" spans="1:29">
      <c r="B26" s="131"/>
      <c r="C26" s="131"/>
      <c r="J26" s="482"/>
      <c r="K26" s="482"/>
      <c r="L26" s="482"/>
      <c r="M26" s="482"/>
    </row>
    <row r="27" spans="1:29">
      <c r="B27" s="131"/>
      <c r="C27" s="131"/>
      <c r="J27" s="482"/>
      <c r="K27" s="482"/>
      <c r="L27" s="482"/>
      <c r="M27" s="482"/>
    </row>
    <row r="28" spans="1:29">
      <c r="J28" s="482"/>
      <c r="K28" s="482"/>
      <c r="L28" s="482"/>
      <c r="M28" s="482"/>
    </row>
    <row r="29" spans="1:29">
      <c r="J29" s="482"/>
      <c r="K29" s="482"/>
      <c r="L29" s="482"/>
      <c r="M29" s="482"/>
    </row>
    <row r="30" spans="1:29">
      <c r="J30" s="482"/>
      <c r="K30" s="482"/>
      <c r="L30" s="482"/>
      <c r="M30" s="482"/>
    </row>
    <row r="31" spans="1:29">
      <c r="J31" s="482"/>
      <c r="K31" s="482"/>
      <c r="L31" s="482"/>
      <c r="M31" s="482"/>
    </row>
    <row r="32" spans="1:29">
      <c r="J32" s="482"/>
      <c r="K32" s="482"/>
      <c r="L32" s="482"/>
      <c r="M32" s="482"/>
    </row>
    <row r="33" spans="10:13">
      <c r="J33" s="482"/>
      <c r="K33" s="482"/>
      <c r="L33" s="482"/>
      <c r="M33" s="482"/>
    </row>
    <row r="34" spans="10:13">
      <c r="J34" s="482"/>
      <c r="K34" s="482"/>
      <c r="L34" s="482"/>
      <c r="M34" s="482"/>
    </row>
  </sheetData>
  <mergeCells count="16">
    <mergeCell ref="P5:Q5"/>
    <mergeCell ref="F5:G5"/>
    <mergeCell ref="N5:O5"/>
    <mergeCell ref="H5:I5"/>
    <mergeCell ref="J5:K5"/>
    <mergeCell ref="L5:M5"/>
    <mergeCell ref="R5:S5"/>
    <mergeCell ref="T5:U5"/>
    <mergeCell ref="V5:W5"/>
    <mergeCell ref="X5:Y5"/>
    <mergeCell ref="Z5:AA5"/>
    <mergeCell ref="B20:L20"/>
    <mergeCell ref="B19:L19"/>
    <mergeCell ref="B5:B6"/>
    <mergeCell ref="D5:E5"/>
    <mergeCell ref="C5:C6"/>
  </mergeCells>
  <phoneticPr fontId="13" type="noConversion"/>
  <hyperlinks>
    <hyperlink ref="B20" r:id="rId1"/>
    <hyperlink ref="B19" r:id="rId2"/>
    <hyperlink ref="B21" r:id="rId3"/>
    <hyperlink ref="A2" location="Indholdfortegnelse!A1" display="Indholdfortegnelse!A1"/>
    <hyperlink ref="B24" r:id="rId4"/>
    <hyperlink ref="B25" r:id="rId5"/>
  </hyperlinks>
  <pageMargins left="0.75" right="0.75" top="1" bottom="1" header="0" footer="0"/>
  <pageSetup paperSize="9" orientation="portrait" verticalDpi="0" r:id="rId6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9">
    <tabColor theme="7" tint="0.39997558519241921"/>
  </sheetPr>
  <dimension ref="A1:T110"/>
  <sheetViews>
    <sheetView zoomScaleNormal="100" workbookViewId="0"/>
  </sheetViews>
  <sheetFormatPr defaultRowHeight="12.75"/>
  <cols>
    <col min="1" max="2" width="9.140625" customWidth="1"/>
    <col min="3" max="5" width="11.42578125" customWidth="1"/>
    <col min="6" max="6" width="14.28515625" customWidth="1"/>
    <col min="7" max="7" width="22.28515625" customWidth="1"/>
    <col min="8" max="9" width="9.140625" customWidth="1"/>
    <col min="10" max="10" width="22.85546875" customWidth="1"/>
    <col min="11" max="11" width="12.85546875" customWidth="1"/>
    <col min="12" max="12" width="14.28515625" customWidth="1"/>
    <col min="13" max="13" width="20.85546875" customWidth="1"/>
  </cols>
  <sheetData>
    <row r="1" spans="1:20">
      <c r="A1" s="155" t="s">
        <v>370</v>
      </c>
      <c r="C1" s="286"/>
      <c r="D1" s="286"/>
      <c r="E1" s="286"/>
      <c r="F1" s="286"/>
      <c r="G1" s="285"/>
      <c r="I1" s="286"/>
      <c r="J1" s="286"/>
      <c r="K1" s="286"/>
      <c r="L1" s="286"/>
      <c r="M1" s="286"/>
    </row>
    <row r="2" spans="1:20">
      <c r="A2" s="142" t="s">
        <v>56</v>
      </c>
    </row>
    <row r="3" spans="1:20">
      <c r="A3" s="318" t="s">
        <v>1</v>
      </c>
    </row>
    <row r="4" spans="1:20" s="650" customFormat="1">
      <c r="A4" s="318"/>
    </row>
    <row r="5" spans="1:20" s="650" customForma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</row>
    <row r="6" spans="1:20" s="650" customFormat="1">
      <c r="B6" s="698" t="s">
        <v>150</v>
      </c>
      <c r="C6" s="699"/>
      <c r="D6" s="699"/>
      <c r="E6" s="699"/>
      <c r="F6" s="699"/>
      <c r="G6" s="700"/>
    </row>
    <row r="7" spans="1:20" s="650" customFormat="1" ht="14.25">
      <c r="A7"/>
      <c r="B7" s="893" t="s">
        <v>367</v>
      </c>
      <c r="C7" s="894"/>
      <c r="D7" s="894"/>
      <c r="E7" s="894"/>
      <c r="F7" s="699" t="s">
        <v>364</v>
      </c>
      <c r="G7" s="700">
        <v>12.1</v>
      </c>
      <c r="H7"/>
      <c r="I7"/>
      <c r="J7"/>
      <c r="K7"/>
      <c r="L7"/>
      <c r="M7"/>
      <c r="N7"/>
      <c r="O7"/>
      <c r="P7"/>
      <c r="Q7"/>
      <c r="R7"/>
      <c r="S7"/>
      <c r="T7"/>
    </row>
    <row r="8" spans="1:20" s="650" customFormat="1" ht="14.25">
      <c r="B8" s="895" t="s">
        <v>368</v>
      </c>
      <c r="C8" s="896"/>
      <c r="D8" s="896"/>
      <c r="E8" s="896"/>
      <c r="F8" s="701" t="s">
        <v>369</v>
      </c>
      <c r="G8" s="702">
        <f>G7*3.6/1000</f>
        <v>4.3560000000000001E-2</v>
      </c>
    </row>
    <row r="10" spans="1:20" s="650" customForma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</row>
    <row r="11" spans="1:20" ht="18">
      <c r="B11" s="667" t="s">
        <v>266</v>
      </c>
      <c r="I11" s="667" t="s">
        <v>267</v>
      </c>
    </row>
    <row r="12" spans="1:20" s="650" customFormat="1">
      <c r="B12" s="130" t="s">
        <v>367</v>
      </c>
      <c r="H12"/>
      <c r="I12" s="130" t="s">
        <v>367</v>
      </c>
      <c r="N12"/>
      <c r="O12"/>
      <c r="P12"/>
      <c r="Q12"/>
      <c r="R12"/>
      <c r="S12"/>
      <c r="T12"/>
    </row>
    <row r="13" spans="1:20" ht="22.5" customHeight="1">
      <c r="B13" s="885" t="s">
        <v>0</v>
      </c>
      <c r="C13" s="885" t="s">
        <v>10</v>
      </c>
      <c r="D13" s="885" t="s">
        <v>113</v>
      </c>
      <c r="E13" s="885" t="s">
        <v>114</v>
      </c>
      <c r="F13" s="885" t="s">
        <v>115</v>
      </c>
      <c r="G13" s="885" t="s">
        <v>116</v>
      </c>
      <c r="I13" s="885" t="s">
        <v>0</v>
      </c>
      <c r="J13" s="885" t="s">
        <v>148</v>
      </c>
      <c r="K13" s="885" t="s">
        <v>365</v>
      </c>
      <c r="L13" s="885" t="s">
        <v>120</v>
      </c>
      <c r="M13" s="885" t="s">
        <v>366</v>
      </c>
    </row>
    <row r="14" spans="1:20" ht="22.5" customHeight="1">
      <c r="B14" s="892"/>
      <c r="C14" s="886"/>
      <c r="D14" s="886"/>
      <c r="E14" s="886"/>
      <c r="F14" s="886"/>
      <c r="G14" s="886"/>
      <c r="I14" s="892"/>
      <c r="J14" s="886"/>
      <c r="K14" s="886"/>
      <c r="L14" s="886"/>
      <c r="M14" s="886"/>
    </row>
    <row r="15" spans="1:20" s="786" customFormat="1">
      <c r="B15" s="886"/>
      <c r="C15" s="785" t="s">
        <v>5</v>
      </c>
      <c r="D15" s="785" t="s">
        <v>5</v>
      </c>
      <c r="E15" s="785" t="s">
        <v>5</v>
      </c>
      <c r="F15" s="785" t="s">
        <v>5</v>
      </c>
      <c r="G15" s="785" t="s">
        <v>5</v>
      </c>
      <c r="I15" s="886"/>
      <c r="J15" s="785" t="s">
        <v>5</v>
      </c>
      <c r="K15" s="785" t="s">
        <v>5</v>
      </c>
      <c r="L15" s="785" t="s">
        <v>5</v>
      </c>
      <c r="M15" s="785" t="s">
        <v>5</v>
      </c>
    </row>
    <row r="16" spans="1:20" ht="12.75" customHeight="1">
      <c r="B16" s="672">
        <v>2016</v>
      </c>
      <c r="C16" s="670">
        <f>C84*$G$7</f>
        <v>30344.684489119998</v>
      </c>
      <c r="D16" s="670">
        <f t="shared" ref="D16:G16" si="0">D84*$G$7</f>
        <v>11065.047511800001</v>
      </c>
      <c r="E16" s="670">
        <f t="shared" si="0"/>
        <v>41409.732000919998</v>
      </c>
      <c r="F16" s="670">
        <f t="shared" si="0"/>
        <v>23456.549421152002</v>
      </c>
      <c r="G16" s="670">
        <f t="shared" si="0"/>
        <v>64866.281422072003</v>
      </c>
      <c r="I16" s="672">
        <v>2016</v>
      </c>
      <c r="J16" s="670">
        <f>J84*$G$7</f>
        <v>47029.507398071997</v>
      </c>
      <c r="K16" s="670">
        <f t="shared" ref="K16:M16" si="1">K84*$G$7</f>
        <v>389.54136899999997</v>
      </c>
      <c r="L16" s="670">
        <f t="shared" si="1"/>
        <v>17443.309212</v>
      </c>
      <c r="M16" s="670">
        <f t="shared" si="1"/>
        <v>64862.357979071996</v>
      </c>
    </row>
    <row r="17" spans="2:13">
      <c r="B17" s="672">
        <v>2017</v>
      </c>
      <c r="C17" s="670">
        <f t="shared" ref="C17:G17" si="2">C85*$G$7</f>
        <v>31669.411047276095</v>
      </c>
      <c r="D17" s="670">
        <f t="shared" si="2"/>
        <v>10890</v>
      </c>
      <c r="E17" s="670">
        <f t="shared" si="2"/>
        <v>42559.411047276095</v>
      </c>
      <c r="F17" s="670">
        <f t="shared" si="2"/>
        <v>9217.0514240895409</v>
      </c>
      <c r="G17" s="670">
        <f t="shared" si="2"/>
        <v>51776.462471365638</v>
      </c>
      <c r="I17" s="672">
        <v>2017</v>
      </c>
      <c r="J17" s="670">
        <f t="shared" ref="J17:M17" si="3">J85*$G$7</f>
        <v>41721.47247136564</v>
      </c>
      <c r="K17" s="670">
        <f t="shared" si="3"/>
        <v>866.25000000000023</v>
      </c>
      <c r="L17" s="670">
        <f t="shared" si="3"/>
        <v>9188.739999999998</v>
      </c>
      <c r="M17" s="670">
        <f t="shared" si="3"/>
        <v>51776.462471365638</v>
      </c>
    </row>
    <row r="18" spans="2:13">
      <c r="B18" s="672">
        <v>2018</v>
      </c>
      <c r="C18" s="670">
        <f t="shared" ref="C18:G18" si="4">C86*$G$7</f>
        <v>31872.208746382876</v>
      </c>
      <c r="D18" s="670">
        <f t="shared" si="4"/>
        <v>10890</v>
      </c>
      <c r="E18" s="670">
        <f t="shared" si="4"/>
        <v>42762.208746382879</v>
      </c>
      <c r="F18" s="670">
        <f t="shared" si="4"/>
        <v>6359.4495209445768</v>
      </c>
      <c r="G18" s="670">
        <f t="shared" si="4"/>
        <v>49121.658267327453</v>
      </c>
      <c r="I18" s="672">
        <v>2018</v>
      </c>
      <c r="J18" s="670">
        <f t="shared" ref="J18:M18" si="5">J86*$G$7</f>
        <v>38851.251600660784</v>
      </c>
      <c r="K18" s="670">
        <f t="shared" si="5"/>
        <v>1081.6666666666667</v>
      </c>
      <c r="L18" s="670">
        <f t="shared" si="5"/>
        <v>9188.739999999998</v>
      </c>
      <c r="M18" s="670">
        <f t="shared" si="5"/>
        <v>49121.658267327453</v>
      </c>
    </row>
    <row r="19" spans="2:13">
      <c r="B19" s="672">
        <v>2019</v>
      </c>
      <c r="C19" s="670">
        <f t="shared" ref="C19:G19" si="6">C87*$G$7</f>
        <v>30983.908147756112</v>
      </c>
      <c r="D19" s="670">
        <f t="shared" si="6"/>
        <v>10890</v>
      </c>
      <c r="E19" s="670">
        <f t="shared" si="6"/>
        <v>41873.908147756112</v>
      </c>
      <c r="F19" s="670">
        <f t="shared" si="6"/>
        <v>9836.7388626146603</v>
      </c>
      <c r="G19" s="670">
        <f t="shared" si="6"/>
        <v>51710.647010370769</v>
      </c>
      <c r="I19" s="672">
        <v>2019</v>
      </c>
      <c r="J19" s="670">
        <f t="shared" ref="J19:M19" si="7">J87*$G$7</f>
        <v>40908.573677037435</v>
      </c>
      <c r="K19" s="670">
        <f t="shared" si="7"/>
        <v>1613.3333333333335</v>
      </c>
      <c r="L19" s="670">
        <f t="shared" si="7"/>
        <v>9188.739999999998</v>
      </c>
      <c r="M19" s="670">
        <f t="shared" si="7"/>
        <v>51710.647010370769</v>
      </c>
    </row>
    <row r="20" spans="2:13">
      <c r="B20" s="672">
        <v>2020</v>
      </c>
      <c r="C20" s="670">
        <f t="shared" ref="C20:G20" si="8">C88*$G$7</f>
        <v>29678.280015478555</v>
      </c>
      <c r="D20" s="670">
        <f t="shared" si="8"/>
        <v>10890</v>
      </c>
      <c r="E20" s="670">
        <f t="shared" si="8"/>
        <v>40568.280015478551</v>
      </c>
      <c r="F20" s="670">
        <f t="shared" si="8"/>
        <v>8878.2861691703201</v>
      </c>
      <c r="G20" s="670">
        <f t="shared" si="8"/>
        <v>49446.566184648873</v>
      </c>
      <c r="I20" s="672">
        <v>2020</v>
      </c>
      <c r="J20" s="670">
        <f t="shared" ref="J20:M20" si="9">J88*$G$7</f>
        <v>38473.381740204437</v>
      </c>
      <c r="K20" s="670">
        <f t="shared" si="9"/>
        <v>1784.4444444444446</v>
      </c>
      <c r="L20" s="670">
        <f t="shared" si="9"/>
        <v>9188.739999999998</v>
      </c>
      <c r="M20" s="670">
        <f t="shared" si="9"/>
        <v>49446.566184648873</v>
      </c>
    </row>
    <row r="21" spans="2:13">
      <c r="B21" s="672">
        <v>2021</v>
      </c>
      <c r="C21" s="670">
        <f t="shared" ref="C21:G21" si="10">C89*$G$7</f>
        <v>29465.196456329966</v>
      </c>
      <c r="D21" s="670">
        <f t="shared" si="10"/>
        <v>10890</v>
      </c>
      <c r="E21" s="670">
        <f t="shared" si="10"/>
        <v>40355.196456329963</v>
      </c>
      <c r="F21" s="670">
        <f t="shared" si="10"/>
        <v>6511.5469599783537</v>
      </c>
      <c r="G21" s="670">
        <f t="shared" si="10"/>
        <v>46866.743416308316</v>
      </c>
      <c r="I21" s="672">
        <v>2021</v>
      </c>
      <c r="J21" s="670">
        <f t="shared" ref="J21:M21" si="11">J89*$G$7</f>
        <v>35841.003416308311</v>
      </c>
      <c r="K21" s="670">
        <f t="shared" si="11"/>
        <v>1836.9999999999998</v>
      </c>
      <c r="L21" s="670">
        <f t="shared" si="11"/>
        <v>9188.739999999998</v>
      </c>
      <c r="M21" s="670">
        <f t="shared" si="11"/>
        <v>46866.743416308309</v>
      </c>
    </row>
    <row r="22" spans="2:13">
      <c r="B22" s="672">
        <v>2022</v>
      </c>
      <c r="C22" s="670">
        <f t="shared" ref="C22:G22" si="12">C90*$G$7</f>
        <v>29396.772530955041</v>
      </c>
      <c r="D22" s="670">
        <f t="shared" si="12"/>
        <v>10890</v>
      </c>
      <c r="E22" s="670">
        <f t="shared" si="12"/>
        <v>40286.772530955044</v>
      </c>
      <c r="F22" s="670">
        <f t="shared" si="12"/>
        <v>5021.6946795018912</v>
      </c>
      <c r="G22" s="670">
        <f t="shared" si="12"/>
        <v>45308.467210456933</v>
      </c>
      <c r="I22" s="672">
        <v>2022</v>
      </c>
      <c r="J22" s="670">
        <f t="shared" ref="J22:M22" si="13">J90*$G$7</f>
        <v>34230.17165490138</v>
      </c>
      <c r="K22" s="670">
        <f t="shared" si="13"/>
        <v>1889.5555555555557</v>
      </c>
      <c r="L22" s="670">
        <f t="shared" si="13"/>
        <v>9188.739999999998</v>
      </c>
      <c r="M22" s="670">
        <f t="shared" si="13"/>
        <v>45308.467210456933</v>
      </c>
    </row>
    <row r="23" spans="2:13">
      <c r="B23" s="672">
        <v>2023</v>
      </c>
      <c r="C23" s="670">
        <f t="shared" ref="C23:G23" si="14">C91*$G$7</f>
        <v>29296.647086734552</v>
      </c>
      <c r="D23" s="670">
        <f t="shared" si="14"/>
        <v>10890</v>
      </c>
      <c r="E23" s="670">
        <f t="shared" si="14"/>
        <v>40186.647086734549</v>
      </c>
      <c r="F23" s="670">
        <f t="shared" si="14"/>
        <v>1429.4360781228727</v>
      </c>
      <c r="G23" s="670">
        <f t="shared" si="14"/>
        <v>41616.083164857424</v>
      </c>
      <c r="I23" s="672">
        <v>2023</v>
      </c>
      <c r="J23" s="670">
        <f t="shared" ref="J23:M23" si="15">J91*$G$7</f>
        <v>30485.23205374632</v>
      </c>
      <c r="K23" s="670">
        <f t="shared" si="15"/>
        <v>1942.1111111111109</v>
      </c>
      <c r="L23" s="670">
        <f t="shared" si="15"/>
        <v>9188.739999999998</v>
      </c>
      <c r="M23" s="670">
        <f t="shared" si="15"/>
        <v>41616.083164857424</v>
      </c>
    </row>
    <row r="24" spans="2:13">
      <c r="B24" s="672">
        <v>2024</v>
      </c>
      <c r="C24" s="670">
        <f t="shared" ref="C24:G24" si="16">C92*$G$7</f>
        <v>29215.573499538772</v>
      </c>
      <c r="D24" s="670">
        <f t="shared" si="16"/>
        <v>10890</v>
      </c>
      <c r="E24" s="670">
        <f t="shared" si="16"/>
        <v>40105.573499538768</v>
      </c>
      <c r="F24" s="670">
        <f t="shared" si="16"/>
        <v>0</v>
      </c>
      <c r="G24" s="670">
        <f t="shared" si="16"/>
        <v>40105.573499538768</v>
      </c>
      <c r="I24" s="672">
        <v>2024</v>
      </c>
      <c r="J24" s="670">
        <f t="shared" ref="J24:M24" si="17">J92*$G$7</f>
        <v>26949.13186042101</v>
      </c>
      <c r="K24" s="670">
        <f t="shared" si="17"/>
        <v>1994.6666666666665</v>
      </c>
      <c r="L24" s="670">
        <f t="shared" si="17"/>
        <v>11161.774972451094</v>
      </c>
      <c r="M24" s="670">
        <f t="shared" si="17"/>
        <v>40105.573499538768</v>
      </c>
    </row>
    <row r="25" spans="2:13">
      <c r="B25" s="672">
        <v>2025</v>
      </c>
      <c r="C25" s="670">
        <f t="shared" ref="C25:G25" si="18">C93*$G$7</f>
        <v>29114.233154304475</v>
      </c>
      <c r="D25" s="670">
        <f t="shared" si="18"/>
        <v>10890</v>
      </c>
      <c r="E25" s="670">
        <f t="shared" si="18"/>
        <v>40004.233154304471</v>
      </c>
      <c r="F25" s="670">
        <f t="shared" si="18"/>
        <v>0</v>
      </c>
      <c r="G25" s="670">
        <f t="shared" si="18"/>
        <v>40004.233154304471</v>
      </c>
      <c r="I25" s="672">
        <v>2025</v>
      </c>
      <c r="J25" s="670">
        <f t="shared" ref="J25:M25" si="19">J93*$G$7</f>
        <v>27094.78766262002</v>
      </c>
      <c r="K25" s="670">
        <f t="shared" si="19"/>
        <v>2047.2222222222222</v>
      </c>
      <c r="L25" s="670">
        <f t="shared" si="19"/>
        <v>10862.223269462231</v>
      </c>
      <c r="M25" s="670">
        <f t="shared" si="19"/>
        <v>40004.233154304471</v>
      </c>
    </row>
    <row r="26" spans="2:13">
      <c r="B26" s="672">
        <v>2026</v>
      </c>
      <c r="C26" s="670">
        <f t="shared" ref="C26:G26" si="20">C94*$G$7</f>
        <v>28157.740267790792</v>
      </c>
      <c r="D26" s="670">
        <f t="shared" si="20"/>
        <v>10454.4</v>
      </c>
      <c r="E26" s="670">
        <f t="shared" si="20"/>
        <v>38612.14026779079</v>
      </c>
      <c r="F26" s="670">
        <f t="shared" si="20"/>
        <v>0</v>
      </c>
      <c r="G26" s="670">
        <f t="shared" si="20"/>
        <v>38612.14026779079</v>
      </c>
      <c r="I26" s="672">
        <v>2026</v>
      </c>
      <c r="J26" s="670">
        <f t="shared" ref="J26:M26" si="21">J94*$G$7</f>
        <v>23907.152938913645</v>
      </c>
      <c r="K26" s="670">
        <f t="shared" si="21"/>
        <v>2090</v>
      </c>
      <c r="L26" s="670">
        <f t="shared" si="21"/>
        <v>12614.987328877143</v>
      </c>
      <c r="M26" s="670">
        <f t="shared" si="21"/>
        <v>38612.14026779079</v>
      </c>
    </row>
    <row r="27" spans="2:13">
      <c r="B27" s="672">
        <v>2027</v>
      </c>
      <c r="C27" s="670">
        <f t="shared" ref="C27:G27" si="22">C95*$G$7</f>
        <v>27209.191829747939</v>
      </c>
      <c r="D27" s="670">
        <f t="shared" si="22"/>
        <v>10018.799999999999</v>
      </c>
      <c r="E27" s="670">
        <f t="shared" si="22"/>
        <v>37227.991829747938</v>
      </c>
      <c r="F27" s="670">
        <f t="shared" si="22"/>
        <v>0</v>
      </c>
      <c r="G27" s="670">
        <f t="shared" si="22"/>
        <v>37227.991829747938</v>
      </c>
      <c r="I27" s="672">
        <v>2027</v>
      </c>
      <c r="J27" s="670">
        <f t="shared" ref="J27:M27" si="23">J95*$G$7</f>
        <v>22499.981505241412</v>
      </c>
      <c r="K27" s="670">
        <f t="shared" si="23"/>
        <v>2132.7777777777783</v>
      </c>
      <c r="L27" s="670">
        <f t="shared" si="23"/>
        <v>12595.232546728748</v>
      </c>
      <c r="M27" s="670">
        <f t="shared" si="23"/>
        <v>37227.991829747938</v>
      </c>
    </row>
    <row r="28" spans="2:13">
      <c r="B28" s="672">
        <v>2028</v>
      </c>
      <c r="C28" s="670">
        <f t="shared" ref="C28:G28" si="24">C96*$G$7</f>
        <v>26268.587840175918</v>
      </c>
      <c r="D28" s="670">
        <f t="shared" si="24"/>
        <v>9583.1999999999989</v>
      </c>
      <c r="E28" s="670">
        <f t="shared" si="24"/>
        <v>35851.787840175923</v>
      </c>
      <c r="F28" s="670">
        <f t="shared" si="24"/>
        <v>0</v>
      </c>
      <c r="G28" s="670">
        <f t="shared" si="24"/>
        <v>35851.787840175923</v>
      </c>
      <c r="I28" s="672">
        <v>2028</v>
      </c>
      <c r="J28" s="670">
        <f t="shared" ref="J28:M28" si="25">J96*$G$7</f>
        <v>20226.297836385034</v>
      </c>
      <c r="K28" s="670">
        <f t="shared" si="25"/>
        <v>2175.5555555555561</v>
      </c>
      <c r="L28" s="670">
        <f t="shared" si="25"/>
        <v>13449.934448235324</v>
      </c>
      <c r="M28" s="670">
        <f t="shared" si="25"/>
        <v>35851.787840175923</v>
      </c>
    </row>
    <row r="29" spans="2:13">
      <c r="B29" s="672">
        <v>2029</v>
      </c>
      <c r="C29" s="670">
        <f t="shared" ref="C29:G29" si="26">C97*$G$7</f>
        <v>25335.928299074731</v>
      </c>
      <c r="D29" s="670">
        <f t="shared" si="26"/>
        <v>9147.5999999999985</v>
      </c>
      <c r="E29" s="670">
        <f t="shared" si="26"/>
        <v>34483.528299074729</v>
      </c>
      <c r="F29" s="670">
        <f t="shared" si="26"/>
        <v>0</v>
      </c>
      <c r="G29" s="670">
        <f t="shared" si="26"/>
        <v>34483.528299074729</v>
      </c>
      <c r="I29" s="672">
        <v>2029</v>
      </c>
      <c r="J29" s="670">
        <f t="shared" ref="J29:M29" si="27">J97*$G$7</f>
        <v>17036.347890792429</v>
      </c>
      <c r="K29" s="670">
        <f t="shared" si="27"/>
        <v>2218.3333333333339</v>
      </c>
      <c r="L29" s="670">
        <f t="shared" si="27"/>
        <v>15228.847074948966</v>
      </c>
      <c r="M29" s="670">
        <f t="shared" si="27"/>
        <v>34483.528299074729</v>
      </c>
    </row>
    <row r="30" spans="2:13">
      <c r="B30" s="672">
        <v>2030</v>
      </c>
      <c r="C30" s="670">
        <f t="shared" ref="C30:G30" si="28">C98*$G$7</f>
        <v>24411.213206444376</v>
      </c>
      <c r="D30" s="670">
        <f t="shared" si="28"/>
        <v>8711.9999999999982</v>
      </c>
      <c r="E30" s="670">
        <f t="shared" si="28"/>
        <v>33123.213206444372</v>
      </c>
      <c r="F30" s="670">
        <f t="shared" si="28"/>
        <v>0</v>
      </c>
      <c r="G30" s="670">
        <f t="shared" si="28"/>
        <v>33123.213206444372</v>
      </c>
      <c r="I30" s="672">
        <v>2030</v>
      </c>
      <c r="J30" s="670">
        <f t="shared" ref="J30:M30" si="29">J98*$G$7</f>
        <v>14344.391203476707</v>
      </c>
      <c r="K30" s="670">
        <f t="shared" si="29"/>
        <v>2261.1111111111122</v>
      </c>
      <c r="L30" s="670">
        <f t="shared" si="29"/>
        <v>16517.710891856557</v>
      </c>
      <c r="M30" s="670">
        <f t="shared" si="29"/>
        <v>33123.213206444372</v>
      </c>
    </row>
    <row r="31" spans="2:13">
      <c r="B31" s="672">
        <v>2031</v>
      </c>
      <c r="C31" s="670">
        <f t="shared" ref="C31:G31" si="30">C99*$G$7</f>
        <v>23727.966108951507</v>
      </c>
      <c r="D31" s="670">
        <f t="shared" si="30"/>
        <v>8276.3999999999978</v>
      </c>
      <c r="E31" s="670">
        <f t="shared" si="30"/>
        <v>32004.366108951501</v>
      </c>
      <c r="F31" s="670">
        <f t="shared" si="30"/>
        <v>0</v>
      </c>
      <c r="G31" s="670">
        <f t="shared" si="30"/>
        <v>32004.366108951501</v>
      </c>
      <c r="I31" s="672">
        <v>2031</v>
      </c>
      <c r="J31" s="670">
        <f t="shared" ref="J31:M31" si="31">J99*$G$7</f>
        <v>11448.769383234918</v>
      </c>
      <c r="K31" s="670">
        <f t="shared" si="31"/>
        <v>2303.8888888888901</v>
      </c>
      <c r="L31" s="670">
        <f t="shared" si="31"/>
        <v>18251.707836827696</v>
      </c>
      <c r="M31" s="670">
        <f t="shared" si="31"/>
        <v>32004.366108951508</v>
      </c>
    </row>
    <row r="32" spans="2:13">
      <c r="B32" s="672">
        <v>2032</v>
      </c>
      <c r="C32" s="670">
        <f t="shared" ref="C32:G32" si="32">C100*$G$7</f>
        <v>23052.663459929474</v>
      </c>
      <c r="D32" s="670">
        <f t="shared" si="32"/>
        <v>7840.7999999999975</v>
      </c>
      <c r="E32" s="670">
        <f t="shared" si="32"/>
        <v>30893.463459929473</v>
      </c>
      <c r="F32" s="670">
        <f t="shared" si="32"/>
        <v>0</v>
      </c>
      <c r="G32" s="670">
        <f t="shared" si="32"/>
        <v>30893.463459929473</v>
      </c>
      <c r="I32" s="672">
        <v>2032</v>
      </c>
      <c r="J32" s="670">
        <f t="shared" ref="J32:M32" si="33">J100*$G$7</f>
        <v>8811.9839299939049</v>
      </c>
      <c r="K32" s="670">
        <f t="shared" si="33"/>
        <v>2346.6666666666679</v>
      </c>
      <c r="L32" s="670">
        <f t="shared" si="33"/>
        <v>19734.8128632689</v>
      </c>
      <c r="M32" s="670">
        <f t="shared" si="33"/>
        <v>30893.463459929473</v>
      </c>
    </row>
    <row r="33" spans="1:13">
      <c r="B33" s="672">
        <v>2033</v>
      </c>
      <c r="C33" s="670">
        <f t="shared" ref="C33:G33" si="34">C101*$G$7</f>
        <v>22385.305259378274</v>
      </c>
      <c r="D33" s="670">
        <f t="shared" si="34"/>
        <v>7405.1999999999971</v>
      </c>
      <c r="E33" s="670">
        <f t="shared" si="34"/>
        <v>29790.505259378268</v>
      </c>
      <c r="F33" s="670">
        <f t="shared" si="34"/>
        <v>0</v>
      </c>
      <c r="G33" s="670">
        <f t="shared" si="34"/>
        <v>29790.505259378268</v>
      </c>
      <c r="I33" s="672">
        <v>2033</v>
      </c>
      <c r="J33" s="670">
        <f t="shared" ref="J33:M33" si="35">J101*$G$7</f>
        <v>4596.6706333154625</v>
      </c>
      <c r="K33" s="670">
        <f t="shared" si="35"/>
        <v>2389.4444444444457</v>
      </c>
      <c r="L33" s="670">
        <f t="shared" si="35"/>
        <v>22804.390181618361</v>
      </c>
      <c r="M33" s="670">
        <f t="shared" si="35"/>
        <v>29790.505259378268</v>
      </c>
    </row>
    <row r="34" spans="1:13">
      <c r="B34" s="672">
        <v>2034</v>
      </c>
      <c r="C34" s="670">
        <f t="shared" ref="C34:G34" si="36">C102*$G$7</f>
        <v>21725.891507297896</v>
      </c>
      <c r="D34" s="670">
        <f t="shared" si="36"/>
        <v>6969.5999999999967</v>
      </c>
      <c r="E34" s="670">
        <f t="shared" si="36"/>
        <v>28695.491507297895</v>
      </c>
      <c r="F34" s="670">
        <f t="shared" si="36"/>
        <v>0</v>
      </c>
      <c r="G34" s="670">
        <f t="shared" si="36"/>
        <v>28695.491507297895</v>
      </c>
      <c r="I34" s="672">
        <v>2034</v>
      </c>
      <c r="J34" s="670">
        <f t="shared" ref="J34:M34" si="37">J102*$G$7</f>
        <v>3435.423025988739</v>
      </c>
      <c r="K34" s="670">
        <f t="shared" si="37"/>
        <v>2432.222222222224</v>
      </c>
      <c r="L34" s="670">
        <f t="shared" si="37"/>
        <v>22827.846259086931</v>
      </c>
      <c r="M34" s="670">
        <f t="shared" si="37"/>
        <v>28695.491507297895</v>
      </c>
    </row>
    <row r="35" spans="1:13">
      <c r="B35" s="672">
        <v>2035</v>
      </c>
      <c r="C35" s="670">
        <f t="shared" ref="C35:G35" si="38">C103*$G$7</f>
        <v>21074.422203688355</v>
      </c>
      <c r="D35" s="670">
        <f t="shared" si="38"/>
        <v>6533.9999999999955</v>
      </c>
      <c r="E35" s="670">
        <f t="shared" si="38"/>
        <v>27608.422203688351</v>
      </c>
      <c r="F35" s="670">
        <f t="shared" si="38"/>
        <v>0</v>
      </c>
      <c r="G35" s="670">
        <f t="shared" si="38"/>
        <v>27608.422203688351</v>
      </c>
      <c r="I35" s="672">
        <v>2035</v>
      </c>
      <c r="J35" s="670">
        <f t="shared" ref="J35:M35" si="39">J103*$G$7</f>
        <v>2846.18926871448</v>
      </c>
      <c r="K35" s="670">
        <f t="shared" si="39"/>
        <v>2475.0000000000005</v>
      </c>
      <c r="L35" s="670">
        <f t="shared" si="39"/>
        <v>22287.232934973872</v>
      </c>
      <c r="M35" s="670">
        <f t="shared" si="39"/>
        <v>27608.422203688351</v>
      </c>
    </row>
    <row r="36" spans="1:13">
      <c r="B36" s="672">
        <v>2036</v>
      </c>
      <c r="C36" s="670">
        <f t="shared" ref="C36:G36" si="40">C104*$G$7</f>
        <v>20753.49902515328</v>
      </c>
      <c r="D36" s="670">
        <f t="shared" si="40"/>
        <v>6098.399999999996</v>
      </c>
      <c r="E36" s="670">
        <f t="shared" si="40"/>
        <v>26851.899025153274</v>
      </c>
      <c r="F36" s="670">
        <f t="shared" si="40"/>
        <v>0</v>
      </c>
      <c r="G36" s="670">
        <f t="shared" si="40"/>
        <v>26851.899025153274</v>
      </c>
      <c r="I36" s="672">
        <v>2036</v>
      </c>
      <c r="J36" s="670">
        <f t="shared" ref="J36:M36" si="41">J104*$G$7</f>
        <v>2578.2113203359058</v>
      </c>
      <c r="K36" s="670">
        <f t="shared" si="41"/>
        <v>2711.5407407407406</v>
      </c>
      <c r="L36" s="670">
        <f t="shared" si="41"/>
        <v>21562.146964076626</v>
      </c>
      <c r="M36" s="670">
        <f t="shared" si="41"/>
        <v>26851.899025153274</v>
      </c>
    </row>
    <row r="37" spans="1:13">
      <c r="B37" s="672">
        <v>2037</v>
      </c>
      <c r="C37" s="670">
        <f t="shared" ref="C37:G37" si="42">C105*$G$7</f>
        <v>20436.835649959248</v>
      </c>
      <c r="D37" s="670">
        <f t="shared" si="42"/>
        <v>5662.7999999999956</v>
      </c>
      <c r="E37" s="670">
        <f t="shared" si="42"/>
        <v>26099.635649959244</v>
      </c>
      <c r="F37" s="670">
        <f t="shared" si="42"/>
        <v>0</v>
      </c>
      <c r="G37" s="670">
        <f t="shared" si="42"/>
        <v>26099.635649959244</v>
      </c>
      <c r="I37" s="672">
        <v>2037</v>
      </c>
      <c r="J37" s="670">
        <f t="shared" ref="J37:M37" si="43">J105*$G$7</f>
        <v>2344.8916294756186</v>
      </c>
      <c r="K37" s="670">
        <f t="shared" si="43"/>
        <v>2948.0814814814812</v>
      </c>
      <c r="L37" s="670">
        <f t="shared" si="43"/>
        <v>20806.66253900214</v>
      </c>
      <c r="M37" s="670">
        <f t="shared" si="43"/>
        <v>26099.63564995924</v>
      </c>
    </row>
    <row r="38" spans="1:13">
      <c r="B38" s="672">
        <v>2038</v>
      </c>
      <c r="C38" s="670">
        <f t="shared" ref="C38:G38" si="44">C106*$G$7</f>
        <v>20124.432078106282</v>
      </c>
      <c r="D38" s="670">
        <f t="shared" si="44"/>
        <v>5227.1999999999953</v>
      </c>
      <c r="E38" s="670">
        <f t="shared" si="44"/>
        <v>25351.632078106279</v>
      </c>
      <c r="F38" s="670">
        <f t="shared" si="44"/>
        <v>0</v>
      </c>
      <c r="G38" s="670">
        <f t="shared" si="44"/>
        <v>25351.632078106279</v>
      </c>
      <c r="I38" s="672">
        <v>2038</v>
      </c>
      <c r="J38" s="670">
        <f t="shared" ref="J38:M38" si="45">J106*$G$7</f>
        <v>2163.1902687851984</v>
      </c>
      <c r="K38" s="670">
        <f t="shared" si="45"/>
        <v>3184.6222222222218</v>
      </c>
      <c r="L38" s="670">
        <f t="shared" si="45"/>
        <v>20003.819587098857</v>
      </c>
      <c r="M38" s="670">
        <f t="shared" si="45"/>
        <v>25351.632078106279</v>
      </c>
    </row>
    <row r="39" spans="1:13">
      <c r="B39" s="672">
        <v>2039</v>
      </c>
      <c r="C39" s="670">
        <f t="shared" ref="C39:G39" si="46">C107*$G$7</f>
        <v>19816.288309594376</v>
      </c>
      <c r="D39" s="670">
        <f t="shared" si="46"/>
        <v>4791.5999999999949</v>
      </c>
      <c r="E39" s="670">
        <f t="shared" si="46"/>
        <v>24607.888309594371</v>
      </c>
      <c r="F39" s="670">
        <f t="shared" si="46"/>
        <v>0</v>
      </c>
      <c r="G39" s="670">
        <f t="shared" si="46"/>
        <v>24607.888309594371</v>
      </c>
      <c r="I39" s="672">
        <v>2039</v>
      </c>
      <c r="J39" s="670">
        <f t="shared" ref="J39:M39" si="47">J107*$G$7</f>
        <v>1998.0876387150777</v>
      </c>
      <c r="K39" s="670">
        <f t="shared" si="47"/>
        <v>3421.1629629629633</v>
      </c>
      <c r="L39" s="670">
        <f t="shared" si="47"/>
        <v>19188.637707916329</v>
      </c>
      <c r="M39" s="670">
        <f t="shared" si="47"/>
        <v>24607.888309594371</v>
      </c>
    </row>
    <row r="40" spans="1:13">
      <c r="B40" s="658">
        <v>2040</v>
      </c>
      <c r="C40" s="673">
        <f t="shared" ref="C40:G40" si="48">C108*$G$7</f>
        <v>19512.404344423518</v>
      </c>
      <c r="D40" s="673">
        <f t="shared" si="48"/>
        <v>4355.9999999999945</v>
      </c>
      <c r="E40" s="673">
        <f t="shared" si="48"/>
        <v>23868.40434442351</v>
      </c>
      <c r="F40" s="673">
        <f t="shared" si="48"/>
        <v>0</v>
      </c>
      <c r="G40" s="673">
        <f t="shared" si="48"/>
        <v>23868.40434442351</v>
      </c>
      <c r="I40" s="658">
        <v>2040</v>
      </c>
      <c r="J40" s="673">
        <f t="shared" ref="J40:M40" si="49">J108*$G$7</f>
        <v>1396.6238214290343</v>
      </c>
      <c r="K40" s="673">
        <f t="shared" si="49"/>
        <v>3657.7037037037039</v>
      </c>
      <c r="L40" s="673">
        <f t="shared" si="49"/>
        <v>18814.076819290774</v>
      </c>
      <c r="M40" s="673">
        <f t="shared" si="49"/>
        <v>23868.40434442351</v>
      </c>
    </row>
    <row r="41" spans="1:13">
      <c r="A41" s="281"/>
      <c r="B41" s="17"/>
      <c r="C41" s="142"/>
      <c r="D41" s="142"/>
      <c r="E41" s="142"/>
      <c r="F41" s="142"/>
      <c r="G41" s="142"/>
      <c r="I41" s="286"/>
      <c r="J41" s="286"/>
      <c r="K41" s="285"/>
      <c r="L41" s="286"/>
      <c r="M41" s="286"/>
    </row>
    <row r="42" spans="1:13">
      <c r="A42" s="281"/>
      <c r="B42" s="286"/>
      <c r="C42" s="286"/>
      <c r="D42" s="286"/>
      <c r="E42" s="286"/>
      <c r="F42" s="286"/>
      <c r="G42" s="286"/>
      <c r="I42" s="286"/>
      <c r="J42" s="286"/>
      <c r="K42" s="285"/>
      <c r="L42" s="286"/>
      <c r="M42" s="286"/>
    </row>
    <row r="43" spans="1:13">
      <c r="A43" s="284"/>
      <c r="B43" s="286"/>
      <c r="C43" s="286"/>
      <c r="D43" s="286"/>
      <c r="E43" s="286"/>
      <c r="F43" s="286"/>
      <c r="G43" s="286"/>
      <c r="I43" s="286"/>
      <c r="J43" s="286"/>
      <c r="K43" s="286"/>
      <c r="L43" s="286"/>
      <c r="M43" s="286"/>
    </row>
    <row r="44" spans="1:13">
      <c r="A44" s="284"/>
      <c r="B44" s="286"/>
      <c r="C44" s="286"/>
      <c r="D44" s="286"/>
      <c r="E44" s="286"/>
      <c r="F44" s="286"/>
      <c r="G44" s="286"/>
      <c r="I44" s="286"/>
      <c r="J44" s="286"/>
      <c r="K44" s="286"/>
      <c r="L44" s="286"/>
      <c r="M44" s="286"/>
    </row>
    <row r="45" spans="1:13" ht="18">
      <c r="A45" s="284"/>
      <c r="B45" s="667" t="s">
        <v>266</v>
      </c>
      <c r="C45" s="286"/>
      <c r="D45" s="286"/>
      <c r="E45" s="286"/>
      <c r="F45" s="286"/>
      <c r="G45" s="286"/>
      <c r="I45" s="667" t="s">
        <v>267</v>
      </c>
      <c r="J45" s="286"/>
      <c r="K45" s="286"/>
      <c r="L45" s="286"/>
      <c r="M45" s="286"/>
    </row>
    <row r="46" spans="1:13">
      <c r="A46" s="284"/>
      <c r="B46" s="155" t="s">
        <v>368</v>
      </c>
      <c r="C46" s="286"/>
      <c r="D46" s="286"/>
      <c r="E46" s="286"/>
      <c r="F46" s="286"/>
      <c r="G46" s="286"/>
      <c r="I46" s="155" t="s">
        <v>368</v>
      </c>
      <c r="J46" s="286"/>
      <c r="K46" s="286"/>
      <c r="L46" s="286"/>
      <c r="M46" s="286"/>
    </row>
    <row r="47" spans="1:13" ht="22.5" customHeight="1">
      <c r="B47" s="885" t="s">
        <v>0</v>
      </c>
      <c r="C47" s="885" t="s">
        <v>10</v>
      </c>
      <c r="D47" s="885" t="s">
        <v>113</v>
      </c>
      <c r="E47" s="885" t="s">
        <v>114</v>
      </c>
      <c r="F47" s="885" t="s">
        <v>115</v>
      </c>
      <c r="G47" s="885" t="s">
        <v>116</v>
      </c>
      <c r="I47" s="885" t="s">
        <v>0</v>
      </c>
      <c r="J47" s="885" t="s">
        <v>148</v>
      </c>
      <c r="K47" s="885" t="s">
        <v>365</v>
      </c>
      <c r="L47" s="885" t="s">
        <v>120</v>
      </c>
      <c r="M47" s="885" t="s">
        <v>366</v>
      </c>
    </row>
    <row r="48" spans="1:13" ht="22.5" customHeight="1">
      <c r="B48" s="892"/>
      <c r="C48" s="886"/>
      <c r="D48" s="886"/>
      <c r="E48" s="886"/>
      <c r="F48" s="886"/>
      <c r="G48" s="886"/>
      <c r="I48" s="892"/>
      <c r="J48" s="886"/>
      <c r="K48" s="886"/>
      <c r="L48" s="886"/>
      <c r="M48" s="886"/>
    </row>
    <row r="49" spans="2:13" s="786" customFormat="1">
      <c r="B49" s="886"/>
      <c r="C49" s="787" t="s">
        <v>154</v>
      </c>
      <c r="D49" s="787" t="s">
        <v>154</v>
      </c>
      <c r="E49" s="787" t="s">
        <v>154</v>
      </c>
      <c r="F49" s="787" t="s">
        <v>154</v>
      </c>
      <c r="G49" s="787" t="s">
        <v>154</v>
      </c>
      <c r="I49" s="886"/>
      <c r="J49" s="787" t="s">
        <v>154</v>
      </c>
      <c r="K49" s="787" t="s">
        <v>154</v>
      </c>
      <c r="L49" s="787" t="s">
        <v>154</v>
      </c>
      <c r="M49" s="787" t="s">
        <v>154</v>
      </c>
    </row>
    <row r="50" spans="2:13">
      <c r="B50" s="657">
        <v>2016</v>
      </c>
      <c r="C50" s="671">
        <f>C84*$G$8</f>
        <v>109.240864160832</v>
      </c>
      <c r="D50" s="671">
        <f t="shared" ref="D50:G50" si="50">D84*$G$8</f>
        <v>39.834171042480008</v>
      </c>
      <c r="E50" s="671">
        <f t="shared" si="50"/>
        <v>149.07503520331201</v>
      </c>
      <c r="F50" s="671">
        <f t="shared" si="50"/>
        <v>84.44357791614722</v>
      </c>
      <c r="G50" s="671">
        <f t="shared" si="50"/>
        <v>233.51861311945922</v>
      </c>
      <c r="I50" s="657">
        <v>2016</v>
      </c>
      <c r="J50" s="671">
        <f>J84*$G$8</f>
        <v>169.3062266330592</v>
      </c>
      <c r="K50" s="671">
        <f t="shared" ref="K50:M50" si="51">K84*$G$8</f>
        <v>1.4023489283999999</v>
      </c>
      <c r="L50" s="671">
        <f t="shared" si="51"/>
        <v>62.795913163199998</v>
      </c>
      <c r="M50" s="671">
        <f t="shared" si="51"/>
        <v>233.50448872465921</v>
      </c>
    </row>
    <row r="51" spans="2:13">
      <c r="B51" s="672">
        <v>2017</v>
      </c>
      <c r="C51" s="670">
        <f t="shared" ref="C51:G51" si="52">C85*$G$8</f>
        <v>114.00987977019395</v>
      </c>
      <c r="D51" s="670">
        <f t="shared" si="52"/>
        <v>39.204000000000001</v>
      </c>
      <c r="E51" s="670">
        <f t="shared" si="52"/>
        <v>153.21387977019396</v>
      </c>
      <c r="F51" s="670">
        <f t="shared" si="52"/>
        <v>33.181385126722347</v>
      </c>
      <c r="G51" s="670">
        <f t="shared" si="52"/>
        <v>186.3952648969163</v>
      </c>
      <c r="I51" s="672">
        <v>2017</v>
      </c>
      <c r="J51" s="670">
        <f t="shared" ref="J51:M51" si="53">J85*$G$8</f>
        <v>150.19730089691632</v>
      </c>
      <c r="K51" s="670">
        <f t="shared" si="53"/>
        <v>3.1185000000000009</v>
      </c>
      <c r="L51" s="670">
        <f t="shared" si="53"/>
        <v>33.079463999999994</v>
      </c>
      <c r="M51" s="670">
        <f t="shared" si="53"/>
        <v>186.3952648969163</v>
      </c>
    </row>
    <row r="52" spans="2:13">
      <c r="B52" s="672">
        <v>2018</v>
      </c>
      <c r="C52" s="670">
        <f t="shared" ref="C52:G52" si="54">C86*$G$8</f>
        <v>114.73995148697836</v>
      </c>
      <c r="D52" s="670">
        <f t="shared" si="54"/>
        <v>39.204000000000001</v>
      </c>
      <c r="E52" s="670">
        <f t="shared" si="54"/>
        <v>153.94395148697836</v>
      </c>
      <c r="F52" s="670">
        <f t="shared" si="54"/>
        <v>22.894018275400477</v>
      </c>
      <c r="G52" s="670">
        <f t="shared" si="54"/>
        <v>176.83796976237886</v>
      </c>
      <c r="I52" s="672">
        <v>2018</v>
      </c>
      <c r="J52" s="670">
        <f t="shared" ref="J52:M52" si="55">J86*$G$8</f>
        <v>139.86450576237885</v>
      </c>
      <c r="K52" s="670">
        <f t="shared" si="55"/>
        <v>3.8940000000000006</v>
      </c>
      <c r="L52" s="670">
        <f t="shared" si="55"/>
        <v>33.079463999999994</v>
      </c>
      <c r="M52" s="670">
        <f t="shared" si="55"/>
        <v>176.83796976237886</v>
      </c>
    </row>
    <row r="53" spans="2:13">
      <c r="B53" s="672">
        <v>2019</v>
      </c>
      <c r="C53" s="670">
        <f t="shared" ref="C53:G53" si="56">C87*$G$8</f>
        <v>111.54206933192201</v>
      </c>
      <c r="D53" s="670">
        <f t="shared" si="56"/>
        <v>39.204000000000001</v>
      </c>
      <c r="E53" s="670">
        <f t="shared" si="56"/>
        <v>150.746069331922</v>
      </c>
      <c r="F53" s="670">
        <f t="shared" si="56"/>
        <v>35.412259905412775</v>
      </c>
      <c r="G53" s="670">
        <f t="shared" si="56"/>
        <v>186.15832923733478</v>
      </c>
      <c r="I53" s="672">
        <v>2019</v>
      </c>
      <c r="J53" s="670">
        <f t="shared" ref="J53:M53" si="57">J87*$G$8</f>
        <v>147.27086523733479</v>
      </c>
      <c r="K53" s="670">
        <f t="shared" si="57"/>
        <v>5.8080000000000007</v>
      </c>
      <c r="L53" s="670">
        <f t="shared" si="57"/>
        <v>33.079463999999994</v>
      </c>
      <c r="M53" s="670">
        <f t="shared" si="57"/>
        <v>186.15832923733478</v>
      </c>
    </row>
    <row r="54" spans="2:13">
      <c r="B54" s="672">
        <v>2020</v>
      </c>
      <c r="C54" s="670">
        <f t="shared" ref="C54:G54" si="58">C88*$G$8</f>
        <v>106.84180805572281</v>
      </c>
      <c r="D54" s="670">
        <f t="shared" si="58"/>
        <v>39.204000000000001</v>
      </c>
      <c r="E54" s="670">
        <f t="shared" si="58"/>
        <v>146.0458080557228</v>
      </c>
      <c r="F54" s="670">
        <f t="shared" si="58"/>
        <v>31.961830209013154</v>
      </c>
      <c r="G54" s="670">
        <f t="shared" si="58"/>
        <v>178.00763826473596</v>
      </c>
      <c r="I54" s="672">
        <v>2020</v>
      </c>
      <c r="J54" s="670">
        <f t="shared" ref="J54:M54" si="59">J88*$G$8</f>
        <v>138.50417426473598</v>
      </c>
      <c r="K54" s="670">
        <f t="shared" si="59"/>
        <v>6.4240000000000004</v>
      </c>
      <c r="L54" s="670">
        <f t="shared" si="59"/>
        <v>33.079463999999994</v>
      </c>
      <c r="M54" s="670">
        <f t="shared" si="59"/>
        <v>178.00763826473596</v>
      </c>
    </row>
    <row r="55" spans="2:13">
      <c r="B55" s="672">
        <v>2021</v>
      </c>
      <c r="C55" s="670">
        <f t="shared" ref="C55:G55" si="60">C89*$G$8</f>
        <v>106.07470724278788</v>
      </c>
      <c r="D55" s="670">
        <f t="shared" si="60"/>
        <v>39.204000000000001</v>
      </c>
      <c r="E55" s="670">
        <f t="shared" si="60"/>
        <v>145.27870724278787</v>
      </c>
      <c r="F55" s="670">
        <f t="shared" si="60"/>
        <v>23.441569055922074</v>
      </c>
      <c r="G55" s="670">
        <f t="shared" si="60"/>
        <v>168.72027629870996</v>
      </c>
      <c r="I55" s="672">
        <v>2021</v>
      </c>
      <c r="J55" s="670">
        <f t="shared" ref="J55:M55" si="61">J89*$G$8</f>
        <v>129.02761229870993</v>
      </c>
      <c r="K55" s="670">
        <f t="shared" si="61"/>
        <v>6.6132</v>
      </c>
      <c r="L55" s="670">
        <f t="shared" si="61"/>
        <v>33.079463999999994</v>
      </c>
      <c r="M55" s="670">
        <f t="shared" si="61"/>
        <v>168.72027629870993</v>
      </c>
    </row>
    <row r="56" spans="2:13">
      <c r="B56" s="672">
        <v>2022</v>
      </c>
      <c r="C56" s="670">
        <f t="shared" ref="C56:G56" si="62">C90*$G$8</f>
        <v>105.82838111143816</v>
      </c>
      <c r="D56" s="670">
        <f t="shared" si="62"/>
        <v>39.204000000000001</v>
      </c>
      <c r="E56" s="670">
        <f t="shared" si="62"/>
        <v>145.03238111143816</v>
      </c>
      <c r="F56" s="670">
        <f t="shared" si="62"/>
        <v>18.078100846206809</v>
      </c>
      <c r="G56" s="670">
        <f t="shared" si="62"/>
        <v>163.11048195764496</v>
      </c>
      <c r="I56" s="672">
        <v>2022</v>
      </c>
      <c r="J56" s="670">
        <f t="shared" ref="J56:M56" si="63">J90*$G$8</f>
        <v>123.22861795764497</v>
      </c>
      <c r="K56" s="670">
        <f t="shared" si="63"/>
        <v>6.8024000000000004</v>
      </c>
      <c r="L56" s="670">
        <f t="shared" si="63"/>
        <v>33.079463999999994</v>
      </c>
      <c r="M56" s="670">
        <f t="shared" si="63"/>
        <v>163.11048195764496</v>
      </c>
    </row>
    <row r="57" spans="2:13">
      <c r="B57" s="672">
        <v>2023</v>
      </c>
      <c r="C57" s="670">
        <f t="shared" ref="C57:G57" si="64">C91*$G$8</f>
        <v>105.4679295122444</v>
      </c>
      <c r="D57" s="670">
        <f t="shared" si="64"/>
        <v>39.204000000000001</v>
      </c>
      <c r="E57" s="670">
        <f t="shared" si="64"/>
        <v>144.67192951224439</v>
      </c>
      <c r="F57" s="670">
        <f t="shared" si="64"/>
        <v>5.1459698812423422</v>
      </c>
      <c r="G57" s="670">
        <f t="shared" si="64"/>
        <v>149.81789939348675</v>
      </c>
      <c r="I57" s="672">
        <v>2023</v>
      </c>
      <c r="J57" s="670">
        <f t="shared" ref="J57:M57" si="65">J91*$G$8</f>
        <v>109.74683539348676</v>
      </c>
      <c r="K57" s="670">
        <f t="shared" si="65"/>
        <v>6.9916</v>
      </c>
      <c r="L57" s="670">
        <f t="shared" si="65"/>
        <v>33.079463999999994</v>
      </c>
      <c r="M57" s="670">
        <f t="shared" si="65"/>
        <v>149.81789939348675</v>
      </c>
    </row>
    <row r="58" spans="2:13">
      <c r="B58" s="672">
        <v>2024</v>
      </c>
      <c r="C58" s="670">
        <f t="shared" ref="C58:G58" si="66">C92*$G$8</f>
        <v>105.17606459833958</v>
      </c>
      <c r="D58" s="670">
        <f t="shared" si="66"/>
        <v>39.204000000000001</v>
      </c>
      <c r="E58" s="670">
        <f t="shared" si="66"/>
        <v>144.38006459833957</v>
      </c>
      <c r="F58" s="670">
        <f t="shared" si="66"/>
        <v>0</v>
      </c>
      <c r="G58" s="670">
        <f t="shared" si="66"/>
        <v>144.38006459833957</v>
      </c>
      <c r="I58" s="672">
        <v>2024</v>
      </c>
      <c r="J58" s="670">
        <f t="shared" ref="J58:M58" si="67">J92*$G$8</f>
        <v>97.016874697515632</v>
      </c>
      <c r="K58" s="670">
        <f t="shared" si="67"/>
        <v>7.1807999999999996</v>
      </c>
      <c r="L58" s="670">
        <f t="shared" si="67"/>
        <v>40.182389900823942</v>
      </c>
      <c r="M58" s="670">
        <f t="shared" si="67"/>
        <v>144.38006459833957</v>
      </c>
    </row>
    <row r="59" spans="2:13">
      <c r="B59" s="672">
        <v>2025</v>
      </c>
      <c r="C59" s="670">
        <f t="shared" ref="C59:G59" si="68">C93*$G$8</f>
        <v>104.81123935549611</v>
      </c>
      <c r="D59" s="670">
        <f t="shared" si="68"/>
        <v>39.204000000000001</v>
      </c>
      <c r="E59" s="670">
        <f t="shared" si="68"/>
        <v>144.01523935549611</v>
      </c>
      <c r="F59" s="670">
        <f t="shared" si="68"/>
        <v>0</v>
      </c>
      <c r="G59" s="670">
        <f t="shared" si="68"/>
        <v>144.01523935549611</v>
      </c>
      <c r="I59" s="672">
        <v>2025</v>
      </c>
      <c r="J59" s="670">
        <f t="shared" ref="J59:M59" si="69">J93*$G$8</f>
        <v>97.541235585432077</v>
      </c>
      <c r="K59" s="670">
        <f t="shared" si="69"/>
        <v>7.37</v>
      </c>
      <c r="L59" s="670">
        <f t="shared" si="69"/>
        <v>39.10400377006404</v>
      </c>
      <c r="M59" s="670">
        <f t="shared" si="69"/>
        <v>144.01523935549611</v>
      </c>
    </row>
    <row r="60" spans="2:13">
      <c r="B60" s="672">
        <v>2026</v>
      </c>
      <c r="C60" s="670">
        <f t="shared" ref="C60:G60" si="70">C94*$G$8</f>
        <v>101.36786496404686</v>
      </c>
      <c r="D60" s="670">
        <f t="shared" si="70"/>
        <v>37.635840000000002</v>
      </c>
      <c r="E60" s="670">
        <f t="shared" si="70"/>
        <v>139.00370496404685</v>
      </c>
      <c r="F60" s="670">
        <f t="shared" si="70"/>
        <v>0</v>
      </c>
      <c r="G60" s="670">
        <f t="shared" si="70"/>
        <v>139.00370496404685</v>
      </c>
      <c r="I60" s="672">
        <v>2026</v>
      </c>
      <c r="J60" s="670">
        <f t="shared" ref="J60:M60" si="71">J94*$G$8</f>
        <v>86.06575058008913</v>
      </c>
      <c r="K60" s="670">
        <f t="shared" si="71"/>
        <v>7.5240000000000009</v>
      </c>
      <c r="L60" s="670">
        <f t="shared" si="71"/>
        <v>45.413954383957716</v>
      </c>
      <c r="M60" s="670">
        <f t="shared" si="71"/>
        <v>139.00370496404685</v>
      </c>
    </row>
    <row r="61" spans="2:13">
      <c r="B61" s="672">
        <v>2027</v>
      </c>
      <c r="C61" s="670">
        <f t="shared" ref="C61:G61" si="72">C95*$G$8</f>
        <v>97.953090587092589</v>
      </c>
      <c r="D61" s="670">
        <f t="shared" si="72"/>
        <v>36.067680000000003</v>
      </c>
      <c r="E61" s="670">
        <f t="shared" si="72"/>
        <v>134.02077058709258</v>
      </c>
      <c r="F61" s="670">
        <f t="shared" si="72"/>
        <v>0</v>
      </c>
      <c r="G61" s="670">
        <f t="shared" si="72"/>
        <v>134.02077058709258</v>
      </c>
      <c r="I61" s="672">
        <v>2027</v>
      </c>
      <c r="J61" s="670">
        <f t="shared" ref="J61:M61" si="73">J95*$G$8</f>
        <v>80.999933418869091</v>
      </c>
      <c r="K61" s="670">
        <f t="shared" si="73"/>
        <v>7.6780000000000035</v>
      </c>
      <c r="L61" s="670">
        <f t="shared" si="73"/>
        <v>45.342837168223497</v>
      </c>
      <c r="M61" s="670">
        <f t="shared" si="73"/>
        <v>134.02077058709258</v>
      </c>
    </row>
    <row r="62" spans="2:13">
      <c r="B62" s="672">
        <v>2028</v>
      </c>
      <c r="C62" s="670">
        <f t="shared" ref="C62:G62" si="74">C96*$G$8</f>
        <v>94.566916224633317</v>
      </c>
      <c r="D62" s="670">
        <f t="shared" si="74"/>
        <v>34.499519999999997</v>
      </c>
      <c r="E62" s="670">
        <f t="shared" si="74"/>
        <v>129.06643622463332</v>
      </c>
      <c r="F62" s="670">
        <f t="shared" si="74"/>
        <v>0</v>
      </c>
      <c r="G62" s="670">
        <f t="shared" si="74"/>
        <v>129.06643622463332</v>
      </c>
      <c r="I62" s="672">
        <v>2028</v>
      </c>
      <c r="J62" s="670">
        <f t="shared" ref="J62:M62" si="75">J96*$G$8</f>
        <v>72.814672210986132</v>
      </c>
      <c r="K62" s="670">
        <f t="shared" si="75"/>
        <v>7.8320000000000025</v>
      </c>
      <c r="L62" s="670">
        <f t="shared" si="75"/>
        <v>48.419764013647168</v>
      </c>
      <c r="M62" s="670">
        <f t="shared" si="75"/>
        <v>129.06643622463332</v>
      </c>
    </row>
    <row r="63" spans="2:13">
      <c r="B63" s="672">
        <v>2029</v>
      </c>
      <c r="C63" s="670">
        <f t="shared" ref="C63:G63" si="76">C97*$G$8</f>
        <v>91.209341876669043</v>
      </c>
      <c r="D63" s="670">
        <f t="shared" si="76"/>
        <v>32.931359999999998</v>
      </c>
      <c r="E63" s="670">
        <f t="shared" si="76"/>
        <v>124.14070187666904</v>
      </c>
      <c r="F63" s="670">
        <f t="shared" si="76"/>
        <v>0</v>
      </c>
      <c r="G63" s="670">
        <f t="shared" si="76"/>
        <v>124.14070187666904</v>
      </c>
      <c r="I63" s="672">
        <v>2029</v>
      </c>
      <c r="J63" s="670">
        <f t="shared" ref="J63:M63" si="77">J97*$G$8</f>
        <v>61.330852406852749</v>
      </c>
      <c r="K63" s="670">
        <f t="shared" si="77"/>
        <v>7.9860000000000033</v>
      </c>
      <c r="L63" s="670">
        <f t="shared" si="77"/>
        <v>54.823849469816281</v>
      </c>
      <c r="M63" s="670">
        <f t="shared" si="77"/>
        <v>124.14070187666904</v>
      </c>
    </row>
    <row r="64" spans="2:13">
      <c r="B64" s="672">
        <v>2030</v>
      </c>
      <c r="C64" s="670">
        <f t="shared" ref="C64:G64" si="78">C98*$G$8</f>
        <v>87.880367543199753</v>
      </c>
      <c r="D64" s="670">
        <f t="shared" si="78"/>
        <v>31.363199999999996</v>
      </c>
      <c r="E64" s="670">
        <f t="shared" si="78"/>
        <v>119.24356754319976</v>
      </c>
      <c r="F64" s="670">
        <f t="shared" si="78"/>
        <v>0</v>
      </c>
      <c r="G64" s="670">
        <f t="shared" si="78"/>
        <v>119.24356754319976</v>
      </c>
      <c r="I64" s="672">
        <v>2030</v>
      </c>
      <c r="J64" s="670">
        <f t="shared" ref="J64:M64" si="79">J98*$G$8</f>
        <v>51.639808332516147</v>
      </c>
      <c r="K64" s="670">
        <f t="shared" si="79"/>
        <v>8.1400000000000041</v>
      </c>
      <c r="L64" s="670">
        <f t="shared" si="79"/>
        <v>59.463759210683612</v>
      </c>
      <c r="M64" s="670">
        <f t="shared" si="79"/>
        <v>119.24356754319976</v>
      </c>
    </row>
    <row r="65" spans="1:13">
      <c r="B65" s="672">
        <v>2031</v>
      </c>
      <c r="C65" s="670">
        <f t="shared" ref="C65:G65" si="80">C99*$G$8</f>
        <v>85.420677992225421</v>
      </c>
      <c r="D65" s="670">
        <f t="shared" si="80"/>
        <v>29.795039999999997</v>
      </c>
      <c r="E65" s="670">
        <f t="shared" si="80"/>
        <v>115.21571799222541</v>
      </c>
      <c r="F65" s="670">
        <f t="shared" si="80"/>
        <v>0</v>
      </c>
      <c r="G65" s="670">
        <f t="shared" si="80"/>
        <v>115.21571799222541</v>
      </c>
      <c r="I65" s="672">
        <v>2031</v>
      </c>
      <c r="J65" s="670">
        <f t="shared" ref="J65:M65" si="81">J99*$G$8</f>
        <v>41.215569779645712</v>
      </c>
      <c r="K65" s="670">
        <f t="shared" si="81"/>
        <v>8.294000000000004</v>
      </c>
      <c r="L65" s="670">
        <f t="shared" si="81"/>
        <v>65.70614821257972</v>
      </c>
      <c r="M65" s="670">
        <f t="shared" si="81"/>
        <v>115.21571799222544</v>
      </c>
    </row>
    <row r="66" spans="1:13">
      <c r="B66" s="672">
        <v>2032</v>
      </c>
      <c r="C66" s="670">
        <f t="shared" ref="C66:G66" si="82">C100*$G$8</f>
        <v>82.989588455746116</v>
      </c>
      <c r="D66" s="670">
        <f t="shared" si="82"/>
        <v>28.226879999999991</v>
      </c>
      <c r="E66" s="670">
        <f t="shared" si="82"/>
        <v>111.21646845574611</v>
      </c>
      <c r="F66" s="670">
        <f t="shared" si="82"/>
        <v>0</v>
      </c>
      <c r="G66" s="670">
        <f t="shared" si="82"/>
        <v>111.21646845574611</v>
      </c>
      <c r="I66" s="672">
        <v>2032</v>
      </c>
      <c r="J66" s="670">
        <f t="shared" ref="J66:M66" si="83">J100*$G$8</f>
        <v>31.723142147978063</v>
      </c>
      <c r="K66" s="670">
        <f t="shared" si="83"/>
        <v>8.4480000000000057</v>
      </c>
      <c r="L66" s="670">
        <f t="shared" si="83"/>
        <v>71.045326307768036</v>
      </c>
      <c r="M66" s="670">
        <f t="shared" si="83"/>
        <v>111.21646845574611</v>
      </c>
    </row>
    <row r="67" spans="1:13">
      <c r="B67" s="672">
        <v>2033</v>
      </c>
      <c r="C67" s="670">
        <f t="shared" ref="C67:G67" si="84">C101*$G$8</f>
        <v>80.58709893376178</v>
      </c>
      <c r="D67" s="670">
        <f t="shared" si="84"/>
        <v>26.658719999999992</v>
      </c>
      <c r="E67" s="670">
        <f t="shared" si="84"/>
        <v>107.24581893376177</v>
      </c>
      <c r="F67" s="670">
        <f t="shared" si="84"/>
        <v>0</v>
      </c>
      <c r="G67" s="670">
        <f t="shared" si="84"/>
        <v>107.24581893376177</v>
      </c>
      <c r="I67" s="672">
        <v>2033</v>
      </c>
      <c r="J67" s="670">
        <f t="shared" ref="J67:M67" si="85">J101*$G$8</f>
        <v>16.548014279935668</v>
      </c>
      <c r="K67" s="670">
        <f t="shared" si="85"/>
        <v>8.6020000000000039</v>
      </c>
      <c r="L67" s="670">
        <f t="shared" si="85"/>
        <v>82.095804653826107</v>
      </c>
      <c r="M67" s="670">
        <f t="shared" si="85"/>
        <v>107.24581893376177</v>
      </c>
    </row>
    <row r="68" spans="1:13">
      <c r="B68" s="672">
        <v>2034</v>
      </c>
      <c r="C68" s="670">
        <f t="shared" ref="C68:G68" si="86">C102*$G$8</f>
        <v>78.213209426272428</v>
      </c>
      <c r="D68" s="670">
        <f t="shared" si="86"/>
        <v>25.090559999999989</v>
      </c>
      <c r="E68" s="670">
        <f t="shared" si="86"/>
        <v>103.30376942627242</v>
      </c>
      <c r="F68" s="670">
        <f t="shared" si="86"/>
        <v>0</v>
      </c>
      <c r="G68" s="670">
        <f t="shared" si="86"/>
        <v>103.30376942627242</v>
      </c>
      <c r="I68" s="672">
        <v>2034</v>
      </c>
      <c r="J68" s="670">
        <f t="shared" ref="J68:M68" si="87">J102*$G$8</f>
        <v>12.36752289355946</v>
      </c>
      <c r="K68" s="670">
        <f t="shared" si="87"/>
        <v>8.7560000000000073</v>
      </c>
      <c r="L68" s="670">
        <f t="shared" si="87"/>
        <v>82.180246532712957</v>
      </c>
      <c r="M68" s="670">
        <f t="shared" si="87"/>
        <v>103.30376942627242</v>
      </c>
    </row>
    <row r="69" spans="1:13">
      <c r="B69" s="672">
        <v>2035</v>
      </c>
      <c r="C69" s="670">
        <f t="shared" ref="C69:G69" si="88">C103*$G$8</f>
        <v>75.867919933278088</v>
      </c>
      <c r="D69" s="670">
        <f t="shared" si="88"/>
        <v>23.522399999999987</v>
      </c>
      <c r="E69" s="670">
        <f t="shared" si="88"/>
        <v>99.390319933278079</v>
      </c>
      <c r="F69" s="670">
        <f t="shared" si="88"/>
        <v>0</v>
      </c>
      <c r="G69" s="670">
        <f t="shared" si="88"/>
        <v>99.390319933278079</v>
      </c>
      <c r="I69" s="672">
        <v>2035</v>
      </c>
      <c r="J69" s="670">
        <f t="shared" ref="J69:M69" si="89">J103*$G$8</f>
        <v>10.246281367372129</v>
      </c>
      <c r="K69" s="670">
        <f t="shared" si="89"/>
        <v>8.9100000000000019</v>
      </c>
      <c r="L69" s="670">
        <f t="shared" si="89"/>
        <v>80.234038565905948</v>
      </c>
      <c r="M69" s="670">
        <f t="shared" si="89"/>
        <v>99.390319933278079</v>
      </c>
    </row>
    <row r="70" spans="1:13">
      <c r="B70" s="672">
        <v>2036</v>
      </c>
      <c r="C70" s="670">
        <f t="shared" ref="C70:G70" si="90">C104*$G$8</f>
        <v>74.712596490551803</v>
      </c>
      <c r="D70" s="670">
        <f t="shared" si="90"/>
        <v>21.954239999999984</v>
      </c>
      <c r="E70" s="670">
        <f t="shared" si="90"/>
        <v>96.666836490551788</v>
      </c>
      <c r="F70" s="670">
        <f t="shared" si="90"/>
        <v>0</v>
      </c>
      <c r="G70" s="670">
        <f t="shared" si="90"/>
        <v>96.666836490551788</v>
      </c>
      <c r="I70" s="672">
        <v>2036</v>
      </c>
      <c r="J70" s="670">
        <f t="shared" ref="J70:M70" si="91">J104*$G$8</f>
        <v>9.281560753209261</v>
      </c>
      <c r="K70" s="670">
        <f t="shared" si="91"/>
        <v>9.7615466666666677</v>
      </c>
      <c r="L70" s="670">
        <f t="shared" si="91"/>
        <v>77.62372907067585</v>
      </c>
      <c r="M70" s="670">
        <f t="shared" si="91"/>
        <v>96.666836490551788</v>
      </c>
    </row>
    <row r="71" spans="1:13">
      <c r="B71" s="672">
        <v>2037</v>
      </c>
      <c r="C71" s="670">
        <f t="shared" ref="C71:G71" si="92">C105*$G$8</f>
        <v>73.572608339853304</v>
      </c>
      <c r="D71" s="670">
        <f t="shared" si="92"/>
        <v>20.386079999999986</v>
      </c>
      <c r="E71" s="670">
        <f t="shared" si="92"/>
        <v>93.958688339853282</v>
      </c>
      <c r="F71" s="670">
        <f t="shared" si="92"/>
        <v>0</v>
      </c>
      <c r="G71" s="670">
        <f t="shared" si="92"/>
        <v>93.958688339853282</v>
      </c>
      <c r="I71" s="672">
        <v>2037</v>
      </c>
      <c r="J71" s="670">
        <f t="shared" ref="J71:M71" si="93">J105*$G$8</f>
        <v>8.4416098661122287</v>
      </c>
      <c r="K71" s="670">
        <f t="shared" si="93"/>
        <v>10.613093333333333</v>
      </c>
      <c r="L71" s="670">
        <f t="shared" si="93"/>
        <v>74.903985140407713</v>
      </c>
      <c r="M71" s="670">
        <f t="shared" si="93"/>
        <v>93.958688339853268</v>
      </c>
    </row>
    <row r="72" spans="1:13">
      <c r="B72" s="672">
        <v>2038</v>
      </c>
      <c r="C72" s="670">
        <f t="shared" ref="C72:G72" si="94">C106*$G$8</f>
        <v>72.447955481182618</v>
      </c>
      <c r="D72" s="670">
        <f t="shared" si="94"/>
        <v>18.817919999999983</v>
      </c>
      <c r="E72" s="670">
        <f t="shared" si="94"/>
        <v>91.265875481182619</v>
      </c>
      <c r="F72" s="670">
        <f t="shared" si="94"/>
        <v>0</v>
      </c>
      <c r="G72" s="670">
        <f t="shared" si="94"/>
        <v>91.265875481182619</v>
      </c>
      <c r="I72" s="672">
        <v>2038</v>
      </c>
      <c r="J72" s="670">
        <f t="shared" ref="J72:M72" si="95">J106*$G$8</f>
        <v>7.7874849676267139</v>
      </c>
      <c r="K72" s="670">
        <f t="shared" si="95"/>
        <v>11.464639999999999</v>
      </c>
      <c r="L72" s="670">
        <f t="shared" si="95"/>
        <v>72.013750513555891</v>
      </c>
      <c r="M72" s="670">
        <f t="shared" si="95"/>
        <v>91.265875481182619</v>
      </c>
    </row>
    <row r="73" spans="1:13">
      <c r="B73" s="672">
        <v>2039</v>
      </c>
      <c r="C73" s="670">
        <f t="shared" ref="C73:G73" si="96">C107*$G$8</f>
        <v>71.33863791453976</v>
      </c>
      <c r="D73" s="670">
        <f t="shared" si="96"/>
        <v>17.249759999999984</v>
      </c>
      <c r="E73" s="670">
        <f t="shared" si="96"/>
        <v>88.58839791453974</v>
      </c>
      <c r="F73" s="670">
        <f t="shared" si="96"/>
        <v>0</v>
      </c>
      <c r="G73" s="670">
        <f t="shared" si="96"/>
        <v>88.58839791453974</v>
      </c>
      <c r="I73" s="672">
        <v>2039</v>
      </c>
      <c r="J73" s="670">
        <f t="shared" ref="J73:M73" si="97">J107*$G$8</f>
        <v>7.1931154993742803</v>
      </c>
      <c r="K73" s="670">
        <f t="shared" si="97"/>
        <v>12.316186666666669</v>
      </c>
      <c r="L73" s="670">
        <f t="shared" si="97"/>
        <v>69.079095748498787</v>
      </c>
      <c r="M73" s="670">
        <f t="shared" si="97"/>
        <v>88.58839791453974</v>
      </c>
    </row>
    <row r="74" spans="1:13">
      <c r="B74" s="658">
        <v>2040</v>
      </c>
      <c r="C74" s="673">
        <f t="shared" ref="C74:G74" si="98">C108*$G$8</f>
        <v>70.244655639924659</v>
      </c>
      <c r="D74" s="673">
        <f t="shared" si="98"/>
        <v>15.68159999999998</v>
      </c>
      <c r="E74" s="673">
        <f t="shared" si="98"/>
        <v>85.926255639924648</v>
      </c>
      <c r="F74" s="673">
        <f t="shared" si="98"/>
        <v>0</v>
      </c>
      <c r="G74" s="673">
        <f t="shared" si="98"/>
        <v>85.926255639924648</v>
      </c>
      <c r="I74" s="658">
        <v>2040</v>
      </c>
      <c r="J74" s="673">
        <f t="shared" ref="J74:M74" si="99">J108*$G$8</f>
        <v>5.0278457571445241</v>
      </c>
      <c r="K74" s="673">
        <f t="shared" si="99"/>
        <v>13.167733333333334</v>
      </c>
      <c r="L74" s="673">
        <f t="shared" si="99"/>
        <v>67.730676549446784</v>
      </c>
      <c r="M74" s="673">
        <f t="shared" si="99"/>
        <v>85.926255639924648</v>
      </c>
    </row>
    <row r="75" spans="1:13">
      <c r="A75" s="284"/>
      <c r="B75" s="286"/>
      <c r="C75" s="286"/>
      <c r="D75" s="286"/>
      <c r="E75" s="286"/>
      <c r="F75" s="286"/>
      <c r="G75" s="286"/>
      <c r="I75" s="286"/>
      <c r="J75" s="286"/>
      <c r="K75" s="286"/>
      <c r="L75" s="286"/>
      <c r="M75" s="286"/>
    </row>
    <row r="76" spans="1:13">
      <c r="A76" s="284"/>
      <c r="B76" s="286"/>
      <c r="C76" s="286"/>
      <c r="D76" s="286"/>
      <c r="E76" s="286"/>
      <c r="F76" s="286"/>
      <c r="G76" s="286"/>
      <c r="I76" s="286"/>
      <c r="J76" s="286"/>
      <c r="K76" s="286"/>
      <c r="L76" s="286"/>
      <c r="M76" s="286"/>
    </row>
    <row r="77" spans="1:13">
      <c r="A77" s="284"/>
      <c r="B77" s="286"/>
      <c r="C77" s="286"/>
      <c r="D77" s="286"/>
      <c r="E77" s="286"/>
      <c r="F77" s="286"/>
      <c r="G77" s="286"/>
      <c r="I77" s="286"/>
      <c r="J77" s="286"/>
      <c r="K77" s="286"/>
      <c r="L77" s="286"/>
      <c r="M77" s="286"/>
    </row>
    <row r="78" spans="1:13">
      <c r="A78" s="284"/>
      <c r="B78" s="286"/>
      <c r="C78" s="286"/>
      <c r="D78" s="286"/>
      <c r="E78" s="286"/>
      <c r="F78" s="286"/>
      <c r="G78" s="286"/>
      <c r="I78" s="286"/>
      <c r="J78" s="286"/>
      <c r="K78" s="286"/>
      <c r="L78" s="286"/>
      <c r="M78" s="286"/>
    </row>
    <row r="79" spans="1:13" ht="18">
      <c r="A79" s="284"/>
      <c r="B79" s="667" t="s">
        <v>266</v>
      </c>
      <c r="C79" s="286"/>
      <c r="D79" s="286"/>
      <c r="E79" s="286"/>
      <c r="F79" s="286"/>
      <c r="G79" s="286"/>
      <c r="I79" s="667" t="s">
        <v>267</v>
      </c>
      <c r="J79" s="286"/>
      <c r="K79" s="286"/>
      <c r="L79" s="286"/>
      <c r="M79" s="286"/>
    </row>
    <row r="80" spans="1:13" ht="14.25">
      <c r="A80" s="284"/>
      <c r="B80" s="155" t="s">
        <v>362</v>
      </c>
      <c r="C80" s="286"/>
      <c r="D80" s="286"/>
      <c r="E80" s="286"/>
      <c r="F80" s="286"/>
      <c r="G80" s="286"/>
      <c r="I80" s="155" t="s">
        <v>362</v>
      </c>
      <c r="J80" s="286"/>
      <c r="K80" s="286"/>
      <c r="L80" s="286"/>
      <c r="M80" s="286"/>
    </row>
    <row r="81" spans="2:13" ht="22.5" customHeight="1">
      <c r="B81" s="885" t="s">
        <v>0</v>
      </c>
      <c r="C81" s="885" t="s">
        <v>10</v>
      </c>
      <c r="D81" s="885" t="s">
        <v>113</v>
      </c>
      <c r="E81" s="885" t="s">
        <v>114</v>
      </c>
      <c r="F81" s="885" t="s">
        <v>115</v>
      </c>
      <c r="G81" s="885" t="s">
        <v>116</v>
      </c>
      <c r="I81" s="885" t="s">
        <v>0</v>
      </c>
      <c r="J81" s="885" t="s">
        <v>148</v>
      </c>
      <c r="K81" s="885" t="s">
        <v>365</v>
      </c>
      <c r="L81" s="885" t="s">
        <v>120</v>
      </c>
      <c r="M81" s="885" t="s">
        <v>366</v>
      </c>
    </row>
    <row r="82" spans="2:13" ht="22.5" customHeight="1">
      <c r="B82" s="892"/>
      <c r="C82" s="886"/>
      <c r="D82" s="886"/>
      <c r="E82" s="886"/>
      <c r="F82" s="886"/>
      <c r="G82" s="886"/>
      <c r="I82" s="892"/>
      <c r="J82" s="886"/>
      <c r="K82" s="886"/>
      <c r="L82" s="886"/>
      <c r="M82" s="886"/>
    </row>
    <row r="83" spans="2:13" s="786" customFormat="1">
      <c r="B83" s="886"/>
      <c r="C83" s="787" t="s">
        <v>420</v>
      </c>
      <c r="D83" s="787" t="s">
        <v>420</v>
      </c>
      <c r="E83" s="787" t="s">
        <v>420</v>
      </c>
      <c r="F83" s="787" t="s">
        <v>420</v>
      </c>
      <c r="G83" s="787" t="s">
        <v>420</v>
      </c>
      <c r="I83" s="886"/>
      <c r="J83" s="787" t="s">
        <v>420</v>
      </c>
      <c r="K83" s="787" t="s">
        <v>420</v>
      </c>
      <c r="L83" s="787" t="s">
        <v>420</v>
      </c>
      <c r="M83" s="787" t="s">
        <v>420</v>
      </c>
    </row>
    <row r="84" spans="2:13">
      <c r="B84" s="657">
        <v>2016</v>
      </c>
      <c r="C84" s="671">
        <v>2507.8251643900826</v>
      </c>
      <c r="D84" s="671">
        <v>914.46673651239678</v>
      </c>
      <c r="E84" s="671">
        <f>C84+D84</f>
        <v>3422.2919009024795</v>
      </c>
      <c r="F84" s="671">
        <v>1938.557803400992</v>
      </c>
      <c r="G84" s="671">
        <f>E84+F84</f>
        <v>5360.8497043034713</v>
      </c>
      <c r="I84" s="657">
        <v>2016</v>
      </c>
      <c r="J84" s="671">
        <v>3886.7361486009918</v>
      </c>
      <c r="K84" s="671">
        <v>32.193501570247932</v>
      </c>
      <c r="L84" s="671">
        <v>1441.5958026446281</v>
      </c>
      <c r="M84" s="671">
        <f>J84+K84+L84</f>
        <v>5360.5254528158675</v>
      </c>
    </row>
    <row r="85" spans="2:13">
      <c r="B85" s="672">
        <v>2017</v>
      </c>
      <c r="C85" s="670">
        <v>2617.3066981219913</v>
      </c>
      <c r="D85" s="670">
        <v>900</v>
      </c>
      <c r="E85" s="670">
        <f t="shared" ref="E85:E108" si="100">C85+D85</f>
        <v>3517.3066981219913</v>
      </c>
      <c r="F85" s="670">
        <v>761.73978711483812</v>
      </c>
      <c r="G85" s="670">
        <f t="shared" ref="G85:G108" si="101">E85+F85</f>
        <v>4279.0464852368295</v>
      </c>
      <c r="I85" s="672">
        <v>2017</v>
      </c>
      <c r="J85" s="670">
        <v>3448.0555761459209</v>
      </c>
      <c r="K85" s="670">
        <v>71.590909090909108</v>
      </c>
      <c r="L85" s="670">
        <v>759.39999999999986</v>
      </c>
      <c r="M85" s="670">
        <f t="shared" ref="M85:M108" si="102">J85+K85+L85</f>
        <v>4279.0464852368295</v>
      </c>
    </row>
    <row r="86" spans="2:13">
      <c r="B86" s="672">
        <v>2018</v>
      </c>
      <c r="C86" s="670">
        <v>2634.0668385440395</v>
      </c>
      <c r="D86" s="670">
        <v>900</v>
      </c>
      <c r="E86" s="670">
        <f t="shared" si="100"/>
        <v>3534.0668385440395</v>
      </c>
      <c r="F86" s="670">
        <v>525.57434057393198</v>
      </c>
      <c r="G86" s="670">
        <f t="shared" si="101"/>
        <v>4059.6411791179717</v>
      </c>
      <c r="I86" s="672">
        <v>2018</v>
      </c>
      <c r="J86" s="670">
        <v>3210.8472397240321</v>
      </c>
      <c r="K86" s="670">
        <v>89.393939393939405</v>
      </c>
      <c r="L86" s="670">
        <v>759.39999999999986</v>
      </c>
      <c r="M86" s="670">
        <f t="shared" si="102"/>
        <v>4059.6411791179717</v>
      </c>
    </row>
    <row r="87" spans="2:13">
      <c r="B87" s="672">
        <v>2019</v>
      </c>
      <c r="C87" s="670">
        <v>2560.6535659302572</v>
      </c>
      <c r="D87" s="670">
        <v>900</v>
      </c>
      <c r="E87" s="670">
        <f t="shared" si="100"/>
        <v>3460.6535659302572</v>
      </c>
      <c r="F87" s="670">
        <v>812.95362500947601</v>
      </c>
      <c r="G87" s="670">
        <f t="shared" si="101"/>
        <v>4273.6071909397333</v>
      </c>
      <c r="I87" s="672">
        <v>2019</v>
      </c>
      <c r="J87" s="670">
        <v>3380.8738576063997</v>
      </c>
      <c r="K87" s="670">
        <v>133.33333333333334</v>
      </c>
      <c r="L87" s="670">
        <v>759.39999999999986</v>
      </c>
      <c r="M87" s="670">
        <f t="shared" si="102"/>
        <v>4273.6071909397333</v>
      </c>
    </row>
    <row r="88" spans="2:13">
      <c r="B88" s="672">
        <v>2020</v>
      </c>
      <c r="C88" s="670">
        <v>2452.7504145023599</v>
      </c>
      <c r="D88" s="670">
        <v>900</v>
      </c>
      <c r="E88" s="670">
        <f t="shared" si="100"/>
        <v>3352.7504145023599</v>
      </c>
      <c r="F88" s="670">
        <v>733.74265860911737</v>
      </c>
      <c r="G88" s="670">
        <f t="shared" si="101"/>
        <v>4086.4930731114773</v>
      </c>
      <c r="I88" s="672">
        <v>2020</v>
      </c>
      <c r="J88" s="670">
        <v>3179.6183256367303</v>
      </c>
      <c r="K88" s="670">
        <v>147.47474747474749</v>
      </c>
      <c r="L88" s="670">
        <v>759.39999999999986</v>
      </c>
      <c r="M88" s="670">
        <f t="shared" si="102"/>
        <v>4086.4930731114773</v>
      </c>
    </row>
    <row r="89" spans="2:13">
      <c r="B89" s="672">
        <v>2021</v>
      </c>
      <c r="C89" s="670">
        <v>2435.1402030024765</v>
      </c>
      <c r="D89" s="670">
        <v>900</v>
      </c>
      <c r="E89" s="670">
        <f t="shared" si="100"/>
        <v>3335.1402030024765</v>
      </c>
      <c r="F89" s="670">
        <v>538.1443768577152</v>
      </c>
      <c r="G89" s="670">
        <f t="shared" si="101"/>
        <v>3873.2845798601916</v>
      </c>
      <c r="I89" s="672">
        <v>2021</v>
      </c>
      <c r="J89" s="670">
        <v>2962.0663980420095</v>
      </c>
      <c r="K89" s="670">
        <v>151.81818181818181</v>
      </c>
      <c r="L89" s="670">
        <v>759.39999999999986</v>
      </c>
      <c r="M89" s="670">
        <f t="shared" si="102"/>
        <v>3873.2845798601911</v>
      </c>
    </row>
    <row r="90" spans="2:13">
      <c r="B90" s="672">
        <v>2022</v>
      </c>
      <c r="C90" s="670">
        <v>2429.4853331367804</v>
      </c>
      <c r="D90" s="670">
        <v>900</v>
      </c>
      <c r="E90" s="670">
        <f t="shared" si="100"/>
        <v>3329.4853331367804</v>
      </c>
      <c r="F90" s="670">
        <v>415.01608921503231</v>
      </c>
      <c r="G90" s="670">
        <f t="shared" si="101"/>
        <v>3744.5014223518128</v>
      </c>
      <c r="I90" s="672">
        <v>2022</v>
      </c>
      <c r="J90" s="670">
        <v>2828.9398061901966</v>
      </c>
      <c r="K90" s="670">
        <v>156.16161616161617</v>
      </c>
      <c r="L90" s="670">
        <v>759.39999999999986</v>
      </c>
      <c r="M90" s="670">
        <f t="shared" si="102"/>
        <v>3744.5014223518128</v>
      </c>
    </row>
    <row r="91" spans="2:13">
      <c r="B91" s="672">
        <v>2023</v>
      </c>
      <c r="C91" s="670">
        <v>2421.2105030359135</v>
      </c>
      <c r="D91" s="670">
        <v>900</v>
      </c>
      <c r="E91" s="670">
        <f t="shared" si="100"/>
        <v>3321.2105030359135</v>
      </c>
      <c r="F91" s="670">
        <v>118.13521306800601</v>
      </c>
      <c r="G91" s="670">
        <f t="shared" si="101"/>
        <v>3439.3457161039196</v>
      </c>
      <c r="I91" s="672">
        <v>2023</v>
      </c>
      <c r="J91" s="670">
        <v>2519.4406655988696</v>
      </c>
      <c r="K91" s="670">
        <v>160.50505050505049</v>
      </c>
      <c r="L91" s="670">
        <v>759.39999999999986</v>
      </c>
      <c r="M91" s="670">
        <f t="shared" si="102"/>
        <v>3439.3457161039196</v>
      </c>
    </row>
    <row r="92" spans="2:13">
      <c r="B92" s="672">
        <v>2024</v>
      </c>
      <c r="C92" s="670">
        <v>2414.5102065734523</v>
      </c>
      <c r="D92" s="670">
        <v>900</v>
      </c>
      <c r="E92" s="670">
        <f t="shared" si="100"/>
        <v>3314.5102065734523</v>
      </c>
      <c r="F92" s="670">
        <v>0</v>
      </c>
      <c r="G92" s="670">
        <f t="shared" si="101"/>
        <v>3314.5102065734523</v>
      </c>
      <c r="I92" s="672">
        <v>2024</v>
      </c>
      <c r="J92" s="670">
        <v>2227.2009802000834</v>
      </c>
      <c r="K92" s="670">
        <v>164.84848484848484</v>
      </c>
      <c r="L92" s="670">
        <v>922.46074152488382</v>
      </c>
      <c r="M92" s="670">
        <f t="shared" si="102"/>
        <v>3314.5102065734523</v>
      </c>
    </row>
    <row r="93" spans="2:13">
      <c r="B93" s="672">
        <v>2025</v>
      </c>
      <c r="C93" s="670">
        <v>2406.1349714301218</v>
      </c>
      <c r="D93" s="670">
        <v>900</v>
      </c>
      <c r="E93" s="670">
        <f t="shared" si="100"/>
        <v>3306.1349714301218</v>
      </c>
      <c r="F93" s="670">
        <v>0</v>
      </c>
      <c r="G93" s="670">
        <f t="shared" si="101"/>
        <v>3306.1349714301218</v>
      </c>
      <c r="I93" s="672">
        <v>2025</v>
      </c>
      <c r="J93" s="670">
        <v>2239.2386498033075</v>
      </c>
      <c r="K93" s="670">
        <v>169.1919191919192</v>
      </c>
      <c r="L93" s="670">
        <v>897.7044024348952</v>
      </c>
      <c r="M93" s="670">
        <f t="shared" si="102"/>
        <v>3306.1349714301218</v>
      </c>
    </row>
    <row r="94" spans="2:13">
      <c r="B94" s="672">
        <v>2026</v>
      </c>
      <c r="C94" s="670">
        <v>2327.0859725446935</v>
      </c>
      <c r="D94" s="670">
        <v>864</v>
      </c>
      <c r="E94" s="670">
        <f t="shared" si="100"/>
        <v>3191.0859725446935</v>
      </c>
      <c r="F94" s="670">
        <v>0</v>
      </c>
      <c r="G94" s="670">
        <f t="shared" si="101"/>
        <v>3191.0859725446935</v>
      </c>
      <c r="I94" s="672">
        <v>2026</v>
      </c>
      <c r="J94" s="670">
        <v>1975.7977635465822</v>
      </c>
      <c r="K94" s="670">
        <v>172.72727272727275</v>
      </c>
      <c r="L94" s="670">
        <v>1042.5609362708383</v>
      </c>
      <c r="M94" s="670">
        <f t="shared" si="102"/>
        <v>3191.0859725446935</v>
      </c>
    </row>
    <row r="95" spans="2:13">
      <c r="B95" s="672">
        <v>2027</v>
      </c>
      <c r="C95" s="670">
        <v>2248.6935396485901</v>
      </c>
      <c r="D95" s="670">
        <v>828</v>
      </c>
      <c r="E95" s="670">
        <f t="shared" si="100"/>
        <v>3076.6935396485901</v>
      </c>
      <c r="F95" s="670">
        <v>0</v>
      </c>
      <c r="G95" s="670">
        <f t="shared" si="101"/>
        <v>3076.6935396485901</v>
      </c>
      <c r="I95" s="672">
        <v>2027</v>
      </c>
      <c r="J95" s="670">
        <v>1859.5026037389598</v>
      </c>
      <c r="K95" s="670">
        <v>176.26262626262633</v>
      </c>
      <c r="L95" s="670">
        <v>1040.928309647004</v>
      </c>
      <c r="M95" s="670">
        <f t="shared" si="102"/>
        <v>3076.6935396485901</v>
      </c>
    </row>
    <row r="96" spans="2:13">
      <c r="B96" s="672">
        <v>2028</v>
      </c>
      <c r="C96" s="670">
        <v>2170.9576727418116</v>
      </c>
      <c r="D96" s="670">
        <v>791.99999999999989</v>
      </c>
      <c r="E96" s="670">
        <f t="shared" si="100"/>
        <v>2962.9576727418116</v>
      </c>
      <c r="F96" s="670">
        <v>0</v>
      </c>
      <c r="G96" s="670">
        <f t="shared" si="101"/>
        <v>2962.9576727418116</v>
      </c>
      <c r="I96" s="672">
        <v>2028</v>
      </c>
      <c r="J96" s="670">
        <v>1671.59486251116</v>
      </c>
      <c r="K96" s="670">
        <v>179.79797979797985</v>
      </c>
      <c r="L96" s="670">
        <v>1111.5648304326714</v>
      </c>
      <c r="M96" s="670">
        <f t="shared" si="102"/>
        <v>2962.9576727418116</v>
      </c>
    </row>
    <row r="97" spans="1:13">
      <c r="B97" s="672">
        <v>2029</v>
      </c>
      <c r="C97" s="670">
        <v>2093.8783718243581</v>
      </c>
      <c r="D97" s="670">
        <v>755.99999999999989</v>
      </c>
      <c r="E97" s="670">
        <f t="shared" si="100"/>
        <v>2849.8783718243581</v>
      </c>
      <c r="F97" s="670">
        <v>0</v>
      </c>
      <c r="G97" s="670">
        <f t="shared" si="101"/>
        <v>2849.8783718243581</v>
      </c>
      <c r="I97" s="672">
        <v>2029</v>
      </c>
      <c r="J97" s="670">
        <v>1407.9626356026802</v>
      </c>
      <c r="K97" s="670">
        <v>183.3333333333334</v>
      </c>
      <c r="L97" s="670">
        <v>1258.5824028883444</v>
      </c>
      <c r="M97" s="670">
        <f t="shared" si="102"/>
        <v>2849.8783718243581</v>
      </c>
    </row>
    <row r="98" spans="1:13">
      <c r="B98" s="672">
        <v>2030</v>
      </c>
      <c r="C98" s="670">
        <v>2017.4556368962294</v>
      </c>
      <c r="D98" s="670">
        <v>719.99999999999989</v>
      </c>
      <c r="E98" s="670">
        <f t="shared" si="100"/>
        <v>2737.4556368962294</v>
      </c>
      <c r="F98" s="670">
        <v>0</v>
      </c>
      <c r="G98" s="670">
        <f t="shared" si="101"/>
        <v>2737.4556368962294</v>
      </c>
      <c r="I98" s="672">
        <v>2030</v>
      </c>
      <c r="J98" s="670">
        <v>1185.486876320389</v>
      </c>
      <c r="K98" s="670">
        <v>186.86868686868695</v>
      </c>
      <c r="L98" s="670">
        <v>1365.1000737071536</v>
      </c>
      <c r="M98" s="670">
        <f t="shared" si="102"/>
        <v>2737.4556368962294</v>
      </c>
    </row>
    <row r="99" spans="1:13">
      <c r="B99" s="672">
        <v>2031</v>
      </c>
      <c r="C99" s="670">
        <v>1960.9889346240914</v>
      </c>
      <c r="D99" s="670">
        <v>683.99999999999989</v>
      </c>
      <c r="E99" s="670">
        <f t="shared" si="100"/>
        <v>2644.9889346240911</v>
      </c>
      <c r="F99" s="670">
        <v>0</v>
      </c>
      <c r="G99" s="670">
        <f t="shared" si="101"/>
        <v>2644.9889346240911</v>
      </c>
      <c r="I99" s="672">
        <v>2031</v>
      </c>
      <c r="J99" s="670">
        <v>946.17928787065443</v>
      </c>
      <c r="K99" s="670">
        <v>190.4040404040405</v>
      </c>
      <c r="L99" s="670">
        <v>1508.4056063493965</v>
      </c>
      <c r="M99" s="670">
        <f t="shared" si="102"/>
        <v>2644.9889346240916</v>
      </c>
    </row>
    <row r="100" spans="1:13">
      <c r="B100" s="672">
        <v>2032</v>
      </c>
      <c r="C100" s="670">
        <v>1905.1787983412789</v>
      </c>
      <c r="D100" s="670">
        <v>647.99999999999977</v>
      </c>
      <c r="E100" s="670">
        <f t="shared" si="100"/>
        <v>2553.1787983412787</v>
      </c>
      <c r="F100" s="670">
        <v>0</v>
      </c>
      <c r="G100" s="670">
        <f t="shared" si="101"/>
        <v>2553.1787983412787</v>
      </c>
      <c r="I100" s="672">
        <v>2032</v>
      </c>
      <c r="J100" s="670">
        <v>728.26313471024014</v>
      </c>
      <c r="K100" s="670">
        <v>193.93939393939405</v>
      </c>
      <c r="L100" s="670">
        <v>1630.9762696916446</v>
      </c>
      <c r="M100" s="670">
        <f t="shared" si="102"/>
        <v>2553.1787983412787</v>
      </c>
    </row>
    <row r="101" spans="1:13">
      <c r="B101" s="672">
        <v>2033</v>
      </c>
      <c r="C101" s="670">
        <v>1850.0252280477912</v>
      </c>
      <c r="D101" s="670">
        <v>611.99999999999977</v>
      </c>
      <c r="E101" s="670">
        <f t="shared" si="100"/>
        <v>2462.0252280477907</v>
      </c>
      <c r="F101" s="670">
        <v>0</v>
      </c>
      <c r="G101" s="670">
        <f t="shared" si="101"/>
        <v>2462.0252280477907</v>
      </c>
      <c r="I101" s="672">
        <v>2033</v>
      </c>
      <c r="J101" s="670">
        <v>379.89013498474901</v>
      </c>
      <c r="K101" s="670">
        <v>197.47474747474757</v>
      </c>
      <c r="L101" s="670">
        <v>1884.6603455882944</v>
      </c>
      <c r="M101" s="670">
        <f t="shared" si="102"/>
        <v>2462.0252280477907</v>
      </c>
    </row>
    <row r="102" spans="1:13">
      <c r="B102" s="672">
        <v>2034</v>
      </c>
      <c r="C102" s="670">
        <v>1795.5282237436279</v>
      </c>
      <c r="D102" s="670">
        <v>575.99999999999977</v>
      </c>
      <c r="E102" s="670">
        <f t="shared" si="100"/>
        <v>2371.5282237436277</v>
      </c>
      <c r="F102" s="670">
        <v>0</v>
      </c>
      <c r="G102" s="670">
        <f t="shared" si="101"/>
        <v>2371.5282237436277</v>
      </c>
      <c r="I102" s="672">
        <v>2034</v>
      </c>
      <c r="J102" s="670">
        <v>283.91925834617678</v>
      </c>
      <c r="K102" s="670">
        <v>201.01010101010115</v>
      </c>
      <c r="L102" s="670">
        <v>1886.5988643873497</v>
      </c>
      <c r="M102" s="670">
        <f t="shared" si="102"/>
        <v>2371.5282237436277</v>
      </c>
    </row>
    <row r="103" spans="1:13">
      <c r="B103" s="672">
        <v>2035</v>
      </c>
      <c r="C103" s="670">
        <v>1741.6877854287898</v>
      </c>
      <c r="D103" s="670">
        <v>539.99999999999966</v>
      </c>
      <c r="E103" s="670">
        <f t="shared" si="100"/>
        <v>2281.6877854287895</v>
      </c>
      <c r="F103" s="670">
        <v>0</v>
      </c>
      <c r="G103" s="670">
        <f t="shared" si="101"/>
        <v>2281.6877854287895</v>
      </c>
      <c r="I103" s="672">
        <v>2035</v>
      </c>
      <c r="J103" s="670">
        <v>235.22225361276696</v>
      </c>
      <c r="K103" s="670">
        <v>204.54545454545459</v>
      </c>
      <c r="L103" s="670">
        <v>1841.9200772705681</v>
      </c>
      <c r="M103" s="670">
        <f t="shared" si="102"/>
        <v>2281.6877854287895</v>
      </c>
    </row>
    <row r="104" spans="1:13">
      <c r="B104" s="672">
        <v>2036</v>
      </c>
      <c r="C104" s="670">
        <v>1715.1652086903537</v>
      </c>
      <c r="D104" s="670">
        <v>503.99999999999966</v>
      </c>
      <c r="E104" s="670">
        <f t="shared" si="100"/>
        <v>2219.1652086903532</v>
      </c>
      <c r="F104" s="670">
        <v>0</v>
      </c>
      <c r="G104" s="670">
        <f t="shared" si="101"/>
        <v>2219.1652086903532</v>
      </c>
      <c r="I104" s="672">
        <v>2036</v>
      </c>
      <c r="J104" s="670">
        <v>213.07531573024016</v>
      </c>
      <c r="K104" s="670">
        <v>224.0942760942761</v>
      </c>
      <c r="L104" s="670">
        <v>1781.9956168658368</v>
      </c>
      <c r="M104" s="670">
        <f t="shared" si="102"/>
        <v>2219.1652086903532</v>
      </c>
    </row>
    <row r="105" spans="1:13">
      <c r="B105" s="672">
        <v>2037</v>
      </c>
      <c r="C105" s="670">
        <v>1688.9946818148139</v>
      </c>
      <c r="D105" s="670">
        <v>467.99999999999966</v>
      </c>
      <c r="E105" s="670">
        <f t="shared" si="100"/>
        <v>2156.9946818148137</v>
      </c>
      <c r="F105" s="670">
        <v>0</v>
      </c>
      <c r="G105" s="670">
        <f t="shared" si="101"/>
        <v>2156.9946818148137</v>
      </c>
      <c r="I105" s="672">
        <v>2037</v>
      </c>
      <c r="J105" s="670">
        <v>193.79269665087759</v>
      </c>
      <c r="K105" s="670">
        <v>243.64309764309763</v>
      </c>
      <c r="L105" s="670">
        <v>1719.5588875208382</v>
      </c>
      <c r="M105" s="670">
        <f t="shared" si="102"/>
        <v>2156.9946818148132</v>
      </c>
    </row>
    <row r="106" spans="1:13">
      <c r="B106" s="672">
        <v>2038</v>
      </c>
      <c r="C106" s="670">
        <v>1663.1762048021722</v>
      </c>
      <c r="D106" s="670">
        <v>431.9999999999996</v>
      </c>
      <c r="E106" s="670">
        <f t="shared" si="100"/>
        <v>2095.1762048021719</v>
      </c>
      <c r="F106" s="670">
        <v>0</v>
      </c>
      <c r="G106" s="670">
        <f t="shared" si="101"/>
        <v>2095.1762048021719</v>
      </c>
      <c r="I106" s="672">
        <v>2038</v>
      </c>
      <c r="J106" s="670">
        <v>178.77605527150399</v>
      </c>
      <c r="K106" s="670">
        <v>263.19191919191917</v>
      </c>
      <c r="L106" s="670">
        <v>1653.2082303387485</v>
      </c>
      <c r="M106" s="670">
        <f t="shared" si="102"/>
        <v>2095.1762048021719</v>
      </c>
    </row>
    <row r="107" spans="1:13">
      <c r="B107" s="672">
        <v>2039</v>
      </c>
      <c r="C107" s="670">
        <v>1637.7097776524279</v>
      </c>
      <c r="D107" s="670">
        <v>395.9999999999996</v>
      </c>
      <c r="E107" s="670">
        <f t="shared" si="100"/>
        <v>2033.7097776524274</v>
      </c>
      <c r="F107" s="670">
        <v>0</v>
      </c>
      <c r="G107" s="670">
        <f t="shared" si="101"/>
        <v>2033.7097776524274</v>
      </c>
      <c r="I107" s="672">
        <v>2039</v>
      </c>
      <c r="J107" s="670">
        <v>165.13120981116344</v>
      </c>
      <c r="K107" s="670">
        <v>282.74074074074076</v>
      </c>
      <c r="L107" s="670">
        <v>1585.8378271005231</v>
      </c>
      <c r="M107" s="670">
        <f t="shared" si="102"/>
        <v>2033.7097776524274</v>
      </c>
    </row>
    <row r="108" spans="1:13">
      <c r="B108" s="658">
        <v>2040</v>
      </c>
      <c r="C108" s="673">
        <v>1612.59540036558</v>
      </c>
      <c r="D108" s="673">
        <v>359.99999999999955</v>
      </c>
      <c r="E108" s="673">
        <f t="shared" si="100"/>
        <v>1972.5954003655795</v>
      </c>
      <c r="F108" s="673">
        <v>0</v>
      </c>
      <c r="G108" s="673">
        <f t="shared" si="101"/>
        <v>1972.5954003655795</v>
      </c>
      <c r="I108" s="658">
        <v>2040</v>
      </c>
      <c r="J108" s="673">
        <v>115.42345631644912</v>
      </c>
      <c r="K108" s="673">
        <v>302.2895622895623</v>
      </c>
      <c r="L108" s="673">
        <v>1554.882381759568</v>
      </c>
      <c r="M108" s="673">
        <f t="shared" si="102"/>
        <v>1972.5954003655795</v>
      </c>
    </row>
    <row r="109" spans="1:13">
      <c r="A109" s="17"/>
      <c r="B109" s="22"/>
      <c r="C109" s="12"/>
      <c r="D109" s="12"/>
      <c r="E109" s="12"/>
      <c r="F109" s="12"/>
      <c r="G109" s="12"/>
      <c r="I109" s="22"/>
      <c r="J109" s="12"/>
      <c r="K109" s="12"/>
      <c r="L109" s="12"/>
      <c r="M109" s="12"/>
    </row>
    <row r="110" spans="1:13">
      <c r="B110" s="4"/>
      <c r="I110" s="4"/>
    </row>
  </sheetData>
  <mergeCells count="35">
    <mergeCell ref="M81:M82"/>
    <mergeCell ref="B7:E7"/>
    <mergeCell ref="B8:E8"/>
    <mergeCell ref="K47:K48"/>
    <mergeCell ref="L47:L48"/>
    <mergeCell ref="M47:M48"/>
    <mergeCell ref="L13:L14"/>
    <mergeCell ref="M13:M14"/>
    <mergeCell ref="G13:G14"/>
    <mergeCell ref="J13:J14"/>
    <mergeCell ref="K13:K14"/>
    <mergeCell ref="G81:G82"/>
    <mergeCell ref="B13:B15"/>
    <mergeCell ref="J47:J48"/>
    <mergeCell ref="C13:C14"/>
    <mergeCell ref="D13:D14"/>
    <mergeCell ref="B47:B49"/>
    <mergeCell ref="I47:I49"/>
    <mergeCell ref="B81:B83"/>
    <mergeCell ref="I81:I83"/>
    <mergeCell ref="C81:C82"/>
    <mergeCell ref="D81:D82"/>
    <mergeCell ref="E81:E82"/>
    <mergeCell ref="C47:C48"/>
    <mergeCell ref="D47:D48"/>
    <mergeCell ref="E47:E48"/>
    <mergeCell ref="F81:F82"/>
    <mergeCell ref="F47:F48"/>
    <mergeCell ref="G47:G48"/>
    <mergeCell ref="I13:I15"/>
    <mergeCell ref="F13:F14"/>
    <mergeCell ref="E13:E14"/>
    <mergeCell ref="K81:K82"/>
    <mergeCell ref="L81:L82"/>
    <mergeCell ref="J81:J82"/>
  </mergeCells>
  <hyperlinks>
    <hyperlink ref="A2" location="Indholdsfortegnelse!A1" display="Indholdsfortegnelse"/>
  </hyperlink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0">
    <tabColor theme="7" tint="0.39997558519241921"/>
    <pageSetUpPr fitToPage="1"/>
  </sheetPr>
  <dimension ref="A1:AH50"/>
  <sheetViews>
    <sheetView showGridLines="0" workbookViewId="0"/>
  </sheetViews>
  <sheetFormatPr defaultColWidth="0" defaultRowHeight="12.75" zeroHeight="1"/>
  <cols>
    <col min="1" max="16" width="9.140625" customWidth="1"/>
    <col min="17" max="18" width="11.28515625" bestFit="1" customWidth="1"/>
    <col min="19" max="19" width="10.28515625" bestFit="1" customWidth="1"/>
    <col min="20" max="31" width="9.140625" customWidth="1"/>
    <col min="32" max="32" width="9.140625" hidden="1" customWidth="1"/>
    <col min="33" max="34" width="0" hidden="1" customWidth="1"/>
    <col min="35" max="16384" width="9.140625" hidden="1"/>
  </cols>
  <sheetData>
    <row r="1" spans="1:1">
      <c r="A1" s="130" t="s">
        <v>371</v>
      </c>
    </row>
    <row r="2" spans="1:1">
      <c r="A2" s="132" t="s">
        <v>56</v>
      </c>
    </row>
    <row r="3" spans="1:1"/>
    <row r="4" spans="1:1"/>
    <row r="5" spans="1:1"/>
    <row r="6" spans="1:1"/>
    <row r="7" spans="1:1"/>
    <row r="8" spans="1:1"/>
    <row r="9" spans="1:1"/>
    <row r="10" spans="1:1"/>
    <row r="11" spans="1:1"/>
    <row r="12" spans="1:1"/>
    <row r="13" spans="1:1"/>
    <row r="14" spans="1:1"/>
    <row r="15" spans="1:1"/>
    <row r="16" spans="1:1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</sheetData>
  <hyperlinks>
    <hyperlink ref="A2" location="Indholdsfortegnelse!A1" display="Indholdsfortegnelse"/>
  </hyperlinks>
  <pageMargins left="0.7" right="0.7" top="0.75" bottom="0.75" header="0.3" footer="0.3"/>
  <pageSetup paperSize="9" scale="41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M16"/>
  <sheetViews>
    <sheetView workbookViewId="0"/>
  </sheetViews>
  <sheetFormatPr defaultRowHeight="12.75"/>
  <cols>
    <col min="2" max="2" width="17.140625" customWidth="1"/>
  </cols>
  <sheetData>
    <row r="1" spans="1:13">
      <c r="A1" s="130" t="s">
        <v>108</v>
      </c>
    </row>
    <row r="2" spans="1:13">
      <c r="A2" s="132" t="s">
        <v>56</v>
      </c>
    </row>
    <row r="3" spans="1:13">
      <c r="A3" s="318" t="s">
        <v>1</v>
      </c>
    </row>
    <row r="6" spans="1:13">
      <c r="B6" s="594" t="s">
        <v>112</v>
      </c>
      <c r="C6" s="764">
        <v>2015</v>
      </c>
      <c r="D6" s="764">
        <v>2016</v>
      </c>
      <c r="E6" s="764">
        <v>2017</v>
      </c>
      <c r="F6" s="764">
        <v>2018</v>
      </c>
      <c r="G6" s="764">
        <v>2019</v>
      </c>
      <c r="H6" s="764">
        <v>2020</v>
      </c>
      <c r="I6" s="764">
        <v>2021</v>
      </c>
      <c r="J6" s="764">
        <v>2022</v>
      </c>
      <c r="K6" s="764">
        <v>2023</v>
      </c>
      <c r="L6" s="764">
        <v>2024</v>
      </c>
      <c r="M6" s="765">
        <v>2025</v>
      </c>
    </row>
    <row r="7" spans="1:13">
      <c r="B7" s="594" t="s">
        <v>109</v>
      </c>
      <c r="C7" s="762">
        <v>69344.06453063713</v>
      </c>
      <c r="D7" s="762">
        <v>69215.592104092808</v>
      </c>
      <c r="E7" s="762">
        <v>69147.487604126189</v>
      </c>
      <c r="F7" s="762">
        <v>68977.504264683739</v>
      </c>
      <c r="G7" s="762">
        <v>68826.016079034991</v>
      </c>
      <c r="H7" s="762">
        <v>68683.85083644971</v>
      </c>
      <c r="I7" s="762">
        <v>68871.481279750646</v>
      </c>
      <c r="J7" s="762">
        <v>69003.254647018475</v>
      </c>
      <c r="K7" s="762">
        <v>69124.893400463363</v>
      </c>
      <c r="L7" s="762">
        <v>69238.219917096169</v>
      </c>
      <c r="M7" s="763">
        <v>69336.746678269643</v>
      </c>
    </row>
    <row r="8" spans="1:13">
      <c r="B8" s="766" t="s">
        <v>110</v>
      </c>
      <c r="C8" s="758">
        <v>37505.514792980852</v>
      </c>
      <c r="D8" s="758">
        <v>37207.692056338303</v>
      </c>
      <c r="E8" s="758">
        <v>36855.625522619928</v>
      </c>
      <c r="F8" s="758">
        <v>36353.015645375839</v>
      </c>
      <c r="G8" s="758">
        <v>35902.179630928833</v>
      </c>
      <c r="H8" s="758">
        <v>35380.535508908572</v>
      </c>
      <c r="I8" s="758">
        <v>35589.958131074054</v>
      </c>
      <c r="J8" s="758">
        <v>35687.057408726745</v>
      </c>
      <c r="K8" s="758">
        <v>35723.670304099345</v>
      </c>
      <c r="L8" s="758">
        <v>35738.921007689358</v>
      </c>
      <c r="M8" s="759">
        <v>35682.263153050444</v>
      </c>
    </row>
    <row r="9" spans="1:13">
      <c r="B9" s="767" t="s">
        <v>111</v>
      </c>
      <c r="C9" s="760">
        <v>26852.102835784335</v>
      </c>
      <c r="D9" s="760">
        <v>26745.529044987619</v>
      </c>
      <c r="E9" s="760">
        <v>26640.486286566356</v>
      </c>
      <c r="F9" s="760">
        <v>26472.337982394747</v>
      </c>
      <c r="G9" s="760">
        <v>26321.75693237079</v>
      </c>
      <c r="H9" s="760">
        <v>26155.804591219407</v>
      </c>
      <c r="I9" s="760">
        <v>26255.067857586015</v>
      </c>
      <c r="J9" s="760">
        <v>26312.286018816154</v>
      </c>
      <c r="K9" s="760">
        <v>26351.848931020526</v>
      </c>
      <c r="L9" s="760">
        <v>26383.993236076221</v>
      </c>
      <c r="M9" s="761">
        <v>26394.460462709874</v>
      </c>
    </row>
    <row r="10" spans="1:13">
      <c r="B10" s="304" t="s">
        <v>415</v>
      </c>
    </row>
    <row r="13" spans="1:13">
      <c r="B13" s="306" t="s">
        <v>5</v>
      </c>
      <c r="C13" s="768">
        <v>2015</v>
      </c>
      <c r="D13" s="768">
        <v>2016</v>
      </c>
      <c r="E13" s="768">
        <v>2017</v>
      </c>
      <c r="F13" s="768">
        <v>2018</v>
      </c>
      <c r="G13" s="768">
        <v>2019</v>
      </c>
      <c r="H13" s="768">
        <v>2020</v>
      </c>
      <c r="I13" s="768">
        <v>2021</v>
      </c>
      <c r="J13" s="768">
        <v>2022</v>
      </c>
      <c r="K13" s="768">
        <v>2023</v>
      </c>
      <c r="L13" s="768">
        <v>2024</v>
      </c>
      <c r="M13" s="769">
        <v>2025</v>
      </c>
    </row>
    <row r="14" spans="1:13">
      <c r="B14" s="766" t="str">
        <f>B7</f>
        <v>Husholdning</v>
      </c>
      <c r="C14" s="758">
        <f>C7/3600*1000</f>
        <v>19262.240147399203</v>
      </c>
      <c r="D14" s="758">
        <f t="shared" ref="D14:M14" si="0">D7/3600*1000</f>
        <v>19226.553362248</v>
      </c>
      <c r="E14" s="758">
        <f t="shared" si="0"/>
        <v>19207.635445590608</v>
      </c>
      <c r="F14" s="758">
        <f t="shared" si="0"/>
        <v>19160.417851301037</v>
      </c>
      <c r="G14" s="758">
        <f t="shared" si="0"/>
        <v>19118.337799731944</v>
      </c>
      <c r="H14" s="758">
        <f t="shared" si="0"/>
        <v>19078.847454569364</v>
      </c>
      <c r="I14" s="758">
        <f t="shared" si="0"/>
        <v>19130.96702215296</v>
      </c>
      <c r="J14" s="758">
        <f t="shared" si="0"/>
        <v>19167.570735282912</v>
      </c>
      <c r="K14" s="758">
        <f t="shared" si="0"/>
        <v>19201.359277906489</v>
      </c>
      <c r="L14" s="758">
        <f t="shared" si="0"/>
        <v>19232.838865860045</v>
      </c>
      <c r="M14" s="759">
        <f t="shared" si="0"/>
        <v>19260.207410630457</v>
      </c>
    </row>
    <row r="15" spans="1:13">
      <c r="B15" s="766" t="str">
        <f>B8</f>
        <v>Erhverv</v>
      </c>
      <c r="C15" s="758">
        <f t="shared" ref="C15:M15" si="1">C8/3600*1000</f>
        <v>10418.198553605793</v>
      </c>
      <c r="D15" s="758">
        <f t="shared" si="1"/>
        <v>10335.470015649529</v>
      </c>
      <c r="E15" s="758">
        <f t="shared" si="1"/>
        <v>10237.673756283315</v>
      </c>
      <c r="F15" s="758">
        <f t="shared" si="1"/>
        <v>10098.059901493289</v>
      </c>
      <c r="G15" s="758">
        <f t="shared" si="1"/>
        <v>9972.8276752580077</v>
      </c>
      <c r="H15" s="758">
        <f t="shared" si="1"/>
        <v>9827.92653025238</v>
      </c>
      <c r="I15" s="758">
        <f t="shared" si="1"/>
        <v>9886.0994808539035</v>
      </c>
      <c r="J15" s="758">
        <f t="shared" si="1"/>
        <v>9913.0715024240963</v>
      </c>
      <c r="K15" s="758">
        <f t="shared" si="1"/>
        <v>9923.2417511387084</v>
      </c>
      <c r="L15" s="758">
        <f t="shared" si="1"/>
        <v>9927.4780576914873</v>
      </c>
      <c r="M15" s="759">
        <f t="shared" si="1"/>
        <v>9911.7397647362341</v>
      </c>
    </row>
    <row r="16" spans="1:13">
      <c r="B16" s="767" t="str">
        <f>B9</f>
        <v>Tab</v>
      </c>
      <c r="C16" s="760">
        <f t="shared" ref="C16:M16" si="2">C9/3600*1000</f>
        <v>7458.9174543845375</v>
      </c>
      <c r="D16" s="760">
        <f t="shared" si="2"/>
        <v>7429.3136236076716</v>
      </c>
      <c r="E16" s="760">
        <f t="shared" si="2"/>
        <v>7400.1350796017659</v>
      </c>
      <c r="F16" s="760">
        <f t="shared" si="2"/>
        <v>7353.4272173318741</v>
      </c>
      <c r="G16" s="760">
        <f t="shared" si="2"/>
        <v>7311.5991478807755</v>
      </c>
      <c r="H16" s="760">
        <f t="shared" si="2"/>
        <v>7265.5012753387236</v>
      </c>
      <c r="I16" s="760">
        <f t="shared" si="2"/>
        <v>7293.0744048850047</v>
      </c>
      <c r="J16" s="760">
        <f t="shared" si="2"/>
        <v>7308.968338560042</v>
      </c>
      <c r="K16" s="760">
        <f t="shared" si="2"/>
        <v>7319.9580363945906</v>
      </c>
      <c r="L16" s="760">
        <f t="shared" si="2"/>
        <v>7328.8870100211725</v>
      </c>
      <c r="M16" s="761">
        <f t="shared" si="2"/>
        <v>7331.7945729749645</v>
      </c>
    </row>
  </sheetData>
  <hyperlinks>
    <hyperlink ref="A2" location="Indholdsfortegnelse!A1" display="Indholdsfortegnelse"/>
  </hyperlinks>
  <pageMargins left="0.7" right="0.7" top="0.75" bottom="0.75" header="0.3" footer="0.3"/>
  <pageSetup paperSize="9"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22">
    <tabColor rgb="FF92D050"/>
  </sheetPr>
  <dimension ref="A1:AP353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2.75" outlineLevelCol="1"/>
  <cols>
    <col min="1" max="1" width="9.140625" style="34"/>
    <col min="2" max="2" width="27.85546875" style="34" customWidth="1"/>
    <col min="3" max="5" width="8.7109375" style="166" customWidth="1" outlineLevel="1"/>
    <col min="6" max="10" width="8.7109375" style="166" customWidth="1"/>
    <col min="11" max="11" width="8.7109375" style="178" customWidth="1"/>
    <col min="12" max="15" width="8.7109375" style="166" customWidth="1"/>
    <col min="16" max="16" width="8.7109375" style="178" customWidth="1"/>
    <col min="17" max="20" width="8.7109375" style="166" customWidth="1"/>
    <col min="21" max="21" width="8.7109375" style="178" customWidth="1"/>
    <col min="22" max="25" width="8.7109375" style="166" customWidth="1"/>
    <col min="26" max="26" width="8.7109375" style="178" customWidth="1"/>
    <col min="27" max="30" width="8.7109375" style="166" customWidth="1"/>
    <col min="31" max="31" width="8.7109375" style="178" customWidth="1"/>
    <col min="32" max="32" width="5.7109375" style="35" customWidth="1"/>
    <col min="33" max="40" width="5.7109375" style="34" customWidth="1"/>
    <col min="41" max="41" width="9" style="34" customWidth="1"/>
    <col min="42" max="42" width="5.7109375" style="34" customWidth="1"/>
    <col min="43" max="16384" width="9.140625" style="34"/>
  </cols>
  <sheetData>
    <row r="1" spans="1:42" s="32" customFormat="1" ht="15">
      <c r="A1" s="840" t="s">
        <v>56</v>
      </c>
      <c r="C1" s="325"/>
      <c r="D1" s="326"/>
      <c r="F1" s="168"/>
      <c r="G1" s="327" t="s">
        <v>128</v>
      </c>
      <c r="H1" s="178"/>
      <c r="I1" s="328"/>
      <c r="J1" s="178"/>
      <c r="K1" s="178"/>
      <c r="L1"/>
      <c r="M1"/>
      <c r="N1"/>
      <c r="O1"/>
      <c r="P1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237"/>
      <c r="AC1" s="237"/>
      <c r="AD1" s="237"/>
      <c r="AE1" s="237"/>
    </row>
    <row r="2" spans="1:42" s="32" customFormat="1">
      <c r="C2" s="325"/>
      <c r="D2" s="326"/>
      <c r="F2" s="237"/>
      <c r="G2" s="32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237"/>
      <c r="AC2" s="237"/>
      <c r="AD2" s="237"/>
      <c r="AE2" s="237"/>
    </row>
    <row r="3" spans="1:42" s="32" customFormat="1" ht="15.75">
      <c r="B3" s="329" t="s">
        <v>163</v>
      </c>
      <c r="C3" s="169"/>
      <c r="F3"/>
      <c r="H3"/>
      <c r="I3" s="169"/>
      <c r="J3" s="169"/>
      <c r="K3" s="169"/>
      <c r="L3" s="169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</row>
    <row r="4" spans="1:42" s="37" customFormat="1">
      <c r="B4" s="330" t="s">
        <v>101</v>
      </c>
      <c r="C4" s="331">
        <v>2012</v>
      </c>
      <c r="D4" s="331">
        <v>2013</v>
      </c>
      <c r="E4" s="331">
        <v>2014</v>
      </c>
      <c r="F4" s="331">
        <v>2015</v>
      </c>
      <c r="G4" s="331">
        <v>2016</v>
      </c>
      <c r="H4" s="331">
        <v>2017</v>
      </c>
      <c r="I4" s="331">
        <v>2018</v>
      </c>
      <c r="J4" s="332">
        <v>2019</v>
      </c>
      <c r="K4" s="333">
        <v>2020</v>
      </c>
      <c r="L4" s="334">
        <v>2021</v>
      </c>
      <c r="M4" s="331">
        <v>2022</v>
      </c>
      <c r="N4" s="331">
        <v>2023</v>
      </c>
      <c r="O4" s="332">
        <v>2024</v>
      </c>
      <c r="P4" s="333">
        <v>2025</v>
      </c>
      <c r="Q4" s="334">
        <v>2026</v>
      </c>
      <c r="R4" s="331">
        <v>2027</v>
      </c>
      <c r="S4" s="331">
        <v>2028</v>
      </c>
      <c r="T4" s="332">
        <v>2029</v>
      </c>
      <c r="U4" s="333">
        <v>2030</v>
      </c>
      <c r="V4" s="334">
        <v>2031</v>
      </c>
      <c r="W4" s="331">
        <v>2032</v>
      </c>
      <c r="X4" s="331">
        <v>2033</v>
      </c>
      <c r="Y4" s="332">
        <v>2034</v>
      </c>
      <c r="Z4" s="333">
        <v>2035</v>
      </c>
      <c r="AA4" s="334">
        <v>2036</v>
      </c>
      <c r="AB4" s="331">
        <v>2037</v>
      </c>
      <c r="AC4" s="331">
        <v>2038</v>
      </c>
      <c r="AD4" s="332">
        <v>2039</v>
      </c>
      <c r="AE4" s="333">
        <v>2040</v>
      </c>
      <c r="AF4"/>
      <c r="AG4"/>
      <c r="AH4"/>
      <c r="AI4"/>
      <c r="AJ4"/>
      <c r="AK4"/>
      <c r="AL4"/>
      <c r="AM4"/>
      <c r="AN4"/>
      <c r="AO4"/>
      <c r="AP4"/>
    </row>
    <row r="5" spans="1:42" s="89" customFormat="1" ht="15">
      <c r="B5" s="88" t="s">
        <v>479</v>
      </c>
      <c r="C5" s="171"/>
      <c r="D5" s="171"/>
      <c r="E5" s="171"/>
      <c r="F5" s="171"/>
      <c r="G5" s="171"/>
      <c r="H5" s="171"/>
      <c r="I5" s="172">
        <v>125</v>
      </c>
      <c r="J5" s="335">
        <f>I5</f>
        <v>125</v>
      </c>
      <c r="K5" s="336">
        <f t="shared" ref="K5:AE6" si="0">J5</f>
        <v>125</v>
      </c>
      <c r="L5" s="337">
        <f t="shared" si="0"/>
        <v>125</v>
      </c>
      <c r="M5" s="171">
        <f t="shared" si="0"/>
        <v>125</v>
      </c>
      <c r="N5" s="171">
        <f t="shared" si="0"/>
        <v>125</v>
      </c>
      <c r="O5" s="335">
        <f t="shared" si="0"/>
        <v>125</v>
      </c>
      <c r="P5" s="336">
        <f t="shared" si="0"/>
        <v>125</v>
      </c>
      <c r="Q5" s="337">
        <f t="shared" si="0"/>
        <v>125</v>
      </c>
      <c r="R5" s="171">
        <f t="shared" si="0"/>
        <v>125</v>
      </c>
      <c r="S5" s="171">
        <f t="shared" si="0"/>
        <v>125</v>
      </c>
      <c r="T5" s="335">
        <f t="shared" si="0"/>
        <v>125</v>
      </c>
      <c r="U5" s="336">
        <f t="shared" si="0"/>
        <v>125</v>
      </c>
      <c r="V5" s="337">
        <f t="shared" si="0"/>
        <v>125</v>
      </c>
      <c r="W5" s="171">
        <f t="shared" si="0"/>
        <v>125</v>
      </c>
      <c r="X5" s="171">
        <f t="shared" si="0"/>
        <v>125</v>
      </c>
      <c r="Y5" s="335">
        <f t="shared" si="0"/>
        <v>125</v>
      </c>
      <c r="Z5" s="336">
        <f t="shared" si="0"/>
        <v>125</v>
      </c>
      <c r="AA5" s="337">
        <f t="shared" si="0"/>
        <v>125</v>
      </c>
      <c r="AB5" s="171">
        <f t="shared" si="0"/>
        <v>125</v>
      </c>
      <c r="AC5" s="171">
        <f t="shared" si="0"/>
        <v>125</v>
      </c>
      <c r="AD5" s="335">
        <f t="shared" si="0"/>
        <v>125</v>
      </c>
      <c r="AE5" s="336">
        <f t="shared" si="0"/>
        <v>125</v>
      </c>
      <c r="AF5"/>
      <c r="AG5"/>
      <c r="AH5"/>
      <c r="AI5"/>
      <c r="AJ5"/>
      <c r="AK5"/>
      <c r="AL5"/>
      <c r="AM5"/>
      <c r="AN5"/>
      <c r="AO5"/>
      <c r="AP5"/>
    </row>
    <row r="6" spans="1:42" s="87" customFormat="1" ht="15">
      <c r="B6" s="86" t="s">
        <v>480</v>
      </c>
      <c r="C6" s="173"/>
      <c r="D6" s="173"/>
      <c r="E6" s="173"/>
      <c r="F6" s="173"/>
      <c r="G6" s="173"/>
      <c r="H6" s="173"/>
      <c r="I6" s="174">
        <v>0.8</v>
      </c>
      <c r="J6" s="338">
        <f>I6</f>
        <v>0.8</v>
      </c>
      <c r="K6" s="339">
        <f t="shared" si="0"/>
        <v>0.8</v>
      </c>
      <c r="L6" s="340">
        <f t="shared" si="0"/>
        <v>0.8</v>
      </c>
      <c r="M6" s="173">
        <f t="shared" si="0"/>
        <v>0.8</v>
      </c>
      <c r="N6" s="173">
        <f t="shared" si="0"/>
        <v>0.8</v>
      </c>
      <c r="O6" s="338">
        <f t="shared" si="0"/>
        <v>0.8</v>
      </c>
      <c r="P6" s="339">
        <f t="shared" si="0"/>
        <v>0.8</v>
      </c>
      <c r="Q6" s="340">
        <f t="shared" si="0"/>
        <v>0.8</v>
      </c>
      <c r="R6" s="173">
        <f t="shared" si="0"/>
        <v>0.8</v>
      </c>
      <c r="S6" s="173">
        <f t="shared" si="0"/>
        <v>0.8</v>
      </c>
      <c r="T6" s="338">
        <f t="shared" si="0"/>
        <v>0.8</v>
      </c>
      <c r="U6" s="339">
        <f t="shared" si="0"/>
        <v>0.8</v>
      </c>
      <c r="V6" s="340">
        <f t="shared" si="0"/>
        <v>0.8</v>
      </c>
      <c r="W6" s="173">
        <f t="shared" si="0"/>
        <v>0.8</v>
      </c>
      <c r="X6" s="173">
        <f t="shared" si="0"/>
        <v>0.8</v>
      </c>
      <c r="Y6" s="338">
        <f t="shared" si="0"/>
        <v>0.8</v>
      </c>
      <c r="Z6" s="339">
        <f t="shared" si="0"/>
        <v>0.8</v>
      </c>
      <c r="AA6" s="340">
        <f t="shared" si="0"/>
        <v>0.8</v>
      </c>
      <c r="AB6" s="173">
        <f t="shared" si="0"/>
        <v>0.8</v>
      </c>
      <c r="AC6" s="173">
        <f t="shared" si="0"/>
        <v>0.8</v>
      </c>
      <c r="AD6" s="338">
        <f t="shared" si="0"/>
        <v>0.8</v>
      </c>
      <c r="AE6" s="339">
        <f t="shared" si="0"/>
        <v>0.8</v>
      </c>
      <c r="AF6"/>
      <c r="AG6"/>
      <c r="AH6"/>
      <c r="AI6"/>
      <c r="AJ6"/>
      <c r="AK6"/>
      <c r="AL6"/>
      <c r="AM6"/>
      <c r="AN6"/>
      <c r="AO6"/>
      <c r="AP6"/>
    </row>
    <row r="7" spans="1:42">
      <c r="B7" s="90"/>
      <c r="C7" s="175"/>
      <c r="D7" s="175"/>
      <c r="E7" s="175"/>
      <c r="F7" s="175"/>
      <c r="G7" s="175"/>
      <c r="H7" s="175"/>
      <c r="I7" s="175"/>
      <c r="J7" s="341"/>
      <c r="K7" s="342"/>
      <c r="L7" s="343"/>
      <c r="M7" s="175"/>
      <c r="N7" s="175"/>
      <c r="O7" s="341"/>
      <c r="P7" s="342"/>
      <c r="Q7" s="343"/>
      <c r="R7" s="175"/>
      <c r="S7" s="175"/>
      <c r="T7" s="341"/>
      <c r="U7" s="342"/>
      <c r="V7" s="343"/>
      <c r="W7" s="176"/>
      <c r="X7" s="176"/>
      <c r="Y7" s="344"/>
      <c r="Z7" s="345"/>
      <c r="AA7" s="346"/>
      <c r="AB7" s="177"/>
      <c r="AC7" s="178"/>
      <c r="AD7" s="178"/>
      <c r="AE7" s="347"/>
      <c r="AF7"/>
      <c r="AG7"/>
      <c r="AH7"/>
      <c r="AI7"/>
      <c r="AJ7"/>
      <c r="AK7"/>
      <c r="AL7"/>
      <c r="AM7"/>
      <c r="AN7"/>
      <c r="AO7"/>
      <c r="AP7"/>
    </row>
    <row r="8" spans="1:42" s="83" customFormat="1" ht="12.75" customHeight="1">
      <c r="B8" s="91" t="s">
        <v>72</v>
      </c>
      <c r="C8" s="179"/>
      <c r="D8" s="179"/>
      <c r="E8" s="180"/>
      <c r="F8" s="180"/>
      <c r="G8" s="179"/>
      <c r="H8" s="180"/>
      <c r="I8" s="180"/>
      <c r="J8" s="348"/>
      <c r="K8" s="349"/>
      <c r="L8" s="350"/>
      <c r="M8" s="179"/>
      <c r="N8" s="179"/>
      <c r="O8" s="192"/>
      <c r="P8" s="351"/>
      <c r="Q8" s="352"/>
      <c r="R8" s="179"/>
      <c r="S8" s="179"/>
      <c r="T8" s="192"/>
      <c r="U8" s="351"/>
      <c r="V8" s="352"/>
      <c r="W8" s="182"/>
      <c r="X8" s="182"/>
      <c r="Y8" s="353"/>
      <c r="Z8" s="354"/>
      <c r="AA8" s="355"/>
      <c r="AB8" s="183"/>
      <c r="AC8" s="184"/>
      <c r="AD8" s="184"/>
      <c r="AE8" s="356"/>
      <c r="AF8"/>
      <c r="AG8"/>
      <c r="AH8"/>
      <c r="AI8"/>
      <c r="AJ8"/>
      <c r="AK8"/>
      <c r="AL8"/>
      <c r="AM8"/>
      <c r="AN8"/>
      <c r="AO8"/>
      <c r="AP8"/>
    </row>
    <row r="9" spans="1:42" s="83" customFormat="1" ht="12.75" customHeight="1">
      <c r="B9" s="40" t="s">
        <v>80</v>
      </c>
      <c r="C9" s="179"/>
      <c r="D9" s="185">
        <v>495.4</v>
      </c>
      <c r="E9" s="185">
        <v>494.85</v>
      </c>
      <c r="F9" s="185">
        <v>491.1</v>
      </c>
      <c r="G9" s="185">
        <v>468.4</v>
      </c>
      <c r="H9" s="186">
        <v>446.88866666666667</v>
      </c>
      <c r="I9" s="186">
        <v>426.0573333333333</v>
      </c>
      <c r="J9" s="357">
        <v>405.226</v>
      </c>
      <c r="K9" s="358">
        <v>384.39466666666669</v>
      </c>
      <c r="L9" s="359">
        <v>359.39261904761906</v>
      </c>
      <c r="M9" s="186">
        <v>334.39057142857143</v>
      </c>
      <c r="N9" s="186">
        <v>307.28257142857143</v>
      </c>
      <c r="O9" s="357">
        <v>280.17457142857143</v>
      </c>
      <c r="P9" s="358">
        <v>253.06657142857148</v>
      </c>
      <c r="Q9" s="359">
        <v>225.95857142857147</v>
      </c>
      <c r="R9" s="187">
        <f t="shared" ref="R9:X9" si="1">Q9-$Q9/7</f>
        <v>193.6787755102041</v>
      </c>
      <c r="S9" s="187">
        <f t="shared" si="1"/>
        <v>161.39897959183673</v>
      </c>
      <c r="T9" s="360">
        <f t="shared" si="1"/>
        <v>129.11918367346937</v>
      </c>
      <c r="U9" s="361">
        <f t="shared" si="1"/>
        <v>96.83938775510201</v>
      </c>
      <c r="V9" s="362">
        <f t="shared" si="1"/>
        <v>64.559591836734654</v>
      </c>
      <c r="W9" s="187">
        <f t="shared" si="1"/>
        <v>32.279795918367299</v>
      </c>
      <c r="X9" s="187">
        <f t="shared" si="1"/>
        <v>-5.6843418860808015E-14</v>
      </c>
      <c r="Y9" s="189">
        <v>0</v>
      </c>
      <c r="Z9" s="363">
        <v>0</v>
      </c>
      <c r="AA9" s="364">
        <v>0</v>
      </c>
      <c r="AB9" s="188">
        <v>0</v>
      </c>
      <c r="AC9" s="188">
        <v>0</v>
      </c>
      <c r="AD9" s="189">
        <v>0</v>
      </c>
      <c r="AE9" s="363">
        <v>0</v>
      </c>
      <c r="AF9"/>
      <c r="AG9"/>
      <c r="AH9"/>
      <c r="AI9"/>
      <c r="AJ9"/>
      <c r="AK9"/>
      <c r="AL9"/>
      <c r="AM9"/>
      <c r="AN9"/>
      <c r="AO9"/>
      <c r="AP9"/>
    </row>
    <row r="10" spans="1:42" s="83" customFormat="1" ht="12.75" customHeight="1">
      <c r="B10" s="93" t="s">
        <v>164</v>
      </c>
      <c r="C10" s="179"/>
      <c r="D10" s="185">
        <v>81.400000000000006</v>
      </c>
      <c r="E10" s="185">
        <v>92.1</v>
      </c>
      <c r="F10" s="185">
        <v>92.1</v>
      </c>
      <c r="G10" s="185">
        <v>92.1</v>
      </c>
      <c r="H10" s="180">
        <f>G10</f>
        <v>92.1</v>
      </c>
      <c r="I10" s="180">
        <f t="shared" ref="I10:X11" si="2">H10</f>
        <v>92.1</v>
      </c>
      <c r="J10" s="348">
        <f t="shared" si="2"/>
        <v>92.1</v>
      </c>
      <c r="K10" s="349">
        <f t="shared" si="2"/>
        <v>92.1</v>
      </c>
      <c r="L10" s="365">
        <f t="shared" si="2"/>
        <v>92.1</v>
      </c>
      <c r="M10" s="180">
        <f t="shared" si="2"/>
        <v>92.1</v>
      </c>
      <c r="N10" s="180">
        <f t="shared" si="2"/>
        <v>92.1</v>
      </c>
      <c r="O10" s="348">
        <f t="shared" si="2"/>
        <v>92.1</v>
      </c>
      <c r="P10" s="349">
        <f t="shared" si="2"/>
        <v>92.1</v>
      </c>
      <c r="Q10" s="365">
        <f t="shared" si="2"/>
        <v>92.1</v>
      </c>
      <c r="R10" s="180">
        <f t="shared" si="2"/>
        <v>92.1</v>
      </c>
      <c r="S10" s="180">
        <f t="shared" si="2"/>
        <v>92.1</v>
      </c>
      <c r="T10" s="348">
        <f t="shared" si="2"/>
        <v>92.1</v>
      </c>
      <c r="U10" s="349">
        <f t="shared" si="2"/>
        <v>92.1</v>
      </c>
      <c r="V10" s="365">
        <f t="shared" si="2"/>
        <v>92.1</v>
      </c>
      <c r="W10" s="180">
        <f t="shared" si="2"/>
        <v>92.1</v>
      </c>
      <c r="X10" s="180">
        <f t="shared" si="2"/>
        <v>92.1</v>
      </c>
      <c r="Y10" s="191">
        <f t="shared" ref="Y10:AD10" si="3">X10-$X10/6</f>
        <v>76.75</v>
      </c>
      <c r="Z10" s="366">
        <f t="shared" si="3"/>
        <v>61.4</v>
      </c>
      <c r="AA10" s="367">
        <f t="shared" si="3"/>
        <v>46.05</v>
      </c>
      <c r="AB10" s="190">
        <f t="shared" si="3"/>
        <v>30.699999999999996</v>
      </c>
      <c r="AC10" s="190">
        <f t="shared" si="3"/>
        <v>15.349999999999996</v>
      </c>
      <c r="AD10" s="191">
        <f t="shared" si="3"/>
        <v>0</v>
      </c>
      <c r="AE10" s="363">
        <v>0</v>
      </c>
      <c r="AF10"/>
      <c r="AG10"/>
      <c r="AH10"/>
      <c r="AI10"/>
      <c r="AJ10"/>
      <c r="AK10"/>
      <c r="AL10"/>
      <c r="AM10"/>
      <c r="AN10"/>
      <c r="AO10"/>
      <c r="AP10"/>
    </row>
    <row r="11" spans="1:42" s="83" customFormat="1" ht="12.75" customHeight="1">
      <c r="B11" s="93" t="s">
        <v>165</v>
      </c>
      <c r="C11" s="179"/>
      <c r="D11" s="179"/>
      <c r="E11" s="180"/>
      <c r="F11" s="185">
        <v>27.57</v>
      </c>
      <c r="G11" s="185">
        <v>55</v>
      </c>
      <c r="H11" s="180">
        <f t="shared" ref="H11:J11" si="4">+G11+G15</f>
        <v>120</v>
      </c>
      <c r="I11" s="180">
        <f t="shared" si="4"/>
        <v>145</v>
      </c>
      <c r="J11" s="348">
        <f t="shared" si="4"/>
        <v>183.12777999999997</v>
      </c>
      <c r="K11" s="349">
        <f>+J11+J15</f>
        <v>221.25556</v>
      </c>
      <c r="L11" s="365">
        <f>K11</f>
        <v>221.25556</v>
      </c>
      <c r="M11" s="180">
        <f t="shared" si="2"/>
        <v>221.25556</v>
      </c>
      <c r="N11" s="180">
        <f t="shared" si="2"/>
        <v>221.25556</v>
      </c>
      <c r="O11" s="348">
        <f t="shared" si="2"/>
        <v>221.25556</v>
      </c>
      <c r="P11" s="349">
        <f t="shared" si="2"/>
        <v>221.25556</v>
      </c>
      <c r="Q11" s="365">
        <f t="shared" si="2"/>
        <v>221.25556</v>
      </c>
      <c r="R11" s="180">
        <f t="shared" si="2"/>
        <v>221.25556</v>
      </c>
      <c r="S11" s="180">
        <f t="shared" si="2"/>
        <v>221.25556</v>
      </c>
      <c r="T11" s="348">
        <f t="shared" si="2"/>
        <v>221.25556</v>
      </c>
      <c r="U11" s="349">
        <f t="shared" si="2"/>
        <v>221.25556</v>
      </c>
      <c r="V11" s="365">
        <f t="shared" si="2"/>
        <v>221.25556</v>
      </c>
      <c r="W11" s="180">
        <f t="shared" si="2"/>
        <v>221.25556</v>
      </c>
      <c r="X11" s="180">
        <f t="shared" si="2"/>
        <v>221.25556</v>
      </c>
      <c r="Y11" s="348">
        <f t="shared" ref="Y11:AD11" si="5">X11</f>
        <v>221.25556</v>
      </c>
      <c r="Z11" s="349">
        <f t="shared" si="5"/>
        <v>221.25556</v>
      </c>
      <c r="AA11" s="365">
        <f t="shared" si="5"/>
        <v>221.25556</v>
      </c>
      <c r="AB11" s="180">
        <f t="shared" si="5"/>
        <v>221.25556</v>
      </c>
      <c r="AC11" s="180">
        <f t="shared" si="5"/>
        <v>221.25556</v>
      </c>
      <c r="AD11" s="348">
        <f t="shared" si="5"/>
        <v>221.25556</v>
      </c>
      <c r="AE11" s="366">
        <f t="shared" ref="AE11" si="6">AD11-$X11/6</f>
        <v>184.37963333333335</v>
      </c>
      <c r="AF11"/>
      <c r="AG11"/>
      <c r="AH11"/>
      <c r="AI11"/>
      <c r="AJ11"/>
      <c r="AK11"/>
      <c r="AL11"/>
      <c r="AM11"/>
      <c r="AN11"/>
      <c r="AO11"/>
      <c r="AP11"/>
    </row>
    <row r="12" spans="1:42" s="83" customFormat="1" ht="12.75" customHeight="1">
      <c r="B12" s="93" t="s">
        <v>166</v>
      </c>
      <c r="C12" s="179"/>
      <c r="D12" s="179"/>
      <c r="E12" s="180"/>
      <c r="F12" s="179"/>
      <c r="G12" s="179"/>
      <c r="H12" s="179"/>
      <c r="I12" s="179"/>
      <c r="J12" s="192"/>
      <c r="K12" s="368"/>
      <c r="L12" s="352">
        <f>K12+K16</f>
        <v>41.678422857142834</v>
      </c>
      <c r="M12" s="179">
        <f t="shared" ref="M12:AE12" si="7">L12+L16</f>
        <v>83.356845714285669</v>
      </c>
      <c r="N12" s="179">
        <f t="shared" si="7"/>
        <v>139.64832571428568</v>
      </c>
      <c r="O12" s="192">
        <f t="shared" si="7"/>
        <v>195.93980571428563</v>
      </c>
      <c r="P12" s="351">
        <f t="shared" si="7"/>
        <v>252.2312857142856</v>
      </c>
      <c r="Q12" s="352">
        <f t="shared" si="7"/>
        <v>308.52276571428558</v>
      </c>
      <c r="R12" s="179">
        <f t="shared" si="7"/>
        <v>372.66901061224473</v>
      </c>
      <c r="S12" s="179">
        <f t="shared" si="7"/>
        <v>436.81525551020388</v>
      </c>
      <c r="T12" s="192">
        <f t="shared" si="7"/>
        <v>500.96150040816303</v>
      </c>
      <c r="U12" s="351">
        <f t="shared" si="7"/>
        <v>565.10774530612218</v>
      </c>
      <c r="V12" s="352">
        <f t="shared" si="7"/>
        <v>629.25399020408133</v>
      </c>
      <c r="W12" s="179">
        <f t="shared" si="7"/>
        <v>693.40023510204048</v>
      </c>
      <c r="X12" s="179">
        <f t="shared" si="7"/>
        <v>757.54647999999963</v>
      </c>
      <c r="Y12" s="192">
        <f t="shared" si="7"/>
        <v>817.28981333333297</v>
      </c>
      <c r="Z12" s="351">
        <f t="shared" si="7"/>
        <v>877.03314666666631</v>
      </c>
      <c r="AA12" s="352">
        <f t="shared" si="7"/>
        <v>936.77647999999965</v>
      </c>
      <c r="AB12" s="179">
        <f t="shared" si="7"/>
        <v>996.51981333333299</v>
      </c>
      <c r="AC12" s="179">
        <f t="shared" si="7"/>
        <v>1056.2631466666662</v>
      </c>
      <c r="AD12" s="192">
        <f t="shared" si="7"/>
        <v>1116.0064799999996</v>
      </c>
      <c r="AE12" s="351">
        <f t="shared" si="7"/>
        <v>1179.0334066666662</v>
      </c>
      <c r="AF12"/>
      <c r="AG12"/>
      <c r="AH12"/>
      <c r="AI12"/>
      <c r="AJ12"/>
      <c r="AK12"/>
      <c r="AL12"/>
      <c r="AM12"/>
      <c r="AN12"/>
      <c r="AO12"/>
      <c r="AP12"/>
    </row>
    <row r="13" spans="1:42" s="83" customFormat="1" ht="12.75" customHeight="1">
      <c r="B13" s="40" t="s">
        <v>79</v>
      </c>
      <c r="C13" s="179"/>
      <c r="D13" s="181">
        <f t="shared" ref="D13:AD15" si="8">E9-D9</f>
        <v>-0.54999999999995453</v>
      </c>
      <c r="E13" s="181">
        <f t="shared" si="8"/>
        <v>-3.75</v>
      </c>
      <c r="F13" s="181">
        <f t="shared" si="8"/>
        <v>-22.700000000000045</v>
      </c>
      <c r="G13" s="181">
        <f t="shared" si="8"/>
        <v>-21.511333333333312</v>
      </c>
      <c r="H13" s="181">
        <f t="shared" si="8"/>
        <v>-20.831333333333362</v>
      </c>
      <c r="I13" s="181">
        <f t="shared" si="8"/>
        <v>-20.831333333333305</v>
      </c>
      <c r="J13" s="193">
        <f t="shared" si="8"/>
        <v>-20.831333333333305</v>
      </c>
      <c r="K13" s="369">
        <f t="shared" si="8"/>
        <v>-25.00204761904763</v>
      </c>
      <c r="L13" s="350">
        <f t="shared" si="8"/>
        <v>-25.00204761904763</v>
      </c>
      <c r="M13" s="181">
        <f t="shared" si="8"/>
        <v>-27.108000000000004</v>
      </c>
      <c r="N13" s="181">
        <f t="shared" si="8"/>
        <v>-27.108000000000004</v>
      </c>
      <c r="O13" s="193">
        <f t="shared" si="8"/>
        <v>-27.107999999999947</v>
      </c>
      <c r="P13" s="369">
        <f t="shared" si="8"/>
        <v>-27.108000000000004</v>
      </c>
      <c r="Q13" s="350">
        <f t="shared" si="8"/>
        <v>-32.27979591836737</v>
      </c>
      <c r="R13" s="181">
        <f t="shared" si="8"/>
        <v>-32.27979591836737</v>
      </c>
      <c r="S13" s="181">
        <f t="shared" si="8"/>
        <v>-32.27979591836737</v>
      </c>
      <c r="T13" s="193">
        <f t="shared" si="8"/>
        <v>-32.279795918367356</v>
      </c>
      <c r="U13" s="369">
        <f t="shared" si="8"/>
        <v>-32.279795918367356</v>
      </c>
      <c r="V13" s="350">
        <f t="shared" si="8"/>
        <v>-32.279795918367356</v>
      </c>
      <c r="W13" s="181">
        <f t="shared" si="8"/>
        <v>-32.279795918367356</v>
      </c>
      <c r="X13" s="181">
        <f t="shared" si="8"/>
        <v>5.6843418860808015E-14</v>
      </c>
      <c r="Y13" s="193">
        <f t="shared" si="8"/>
        <v>0</v>
      </c>
      <c r="Z13" s="369">
        <f t="shared" si="8"/>
        <v>0</v>
      </c>
      <c r="AA13" s="350">
        <f t="shared" si="8"/>
        <v>0</v>
      </c>
      <c r="AB13" s="181">
        <f t="shared" si="8"/>
        <v>0</v>
      </c>
      <c r="AC13" s="181">
        <f t="shared" si="8"/>
        <v>0</v>
      </c>
      <c r="AD13" s="193">
        <f t="shared" si="8"/>
        <v>0</v>
      </c>
      <c r="AE13" s="369">
        <v>0</v>
      </c>
      <c r="AF13"/>
      <c r="AG13"/>
      <c r="AH13"/>
      <c r="AI13"/>
      <c r="AJ13"/>
      <c r="AK13"/>
      <c r="AL13"/>
      <c r="AM13"/>
      <c r="AN13"/>
      <c r="AO13"/>
      <c r="AP13"/>
    </row>
    <row r="14" spans="1:42" s="83" customFormat="1" ht="12.75" customHeight="1">
      <c r="B14" s="93" t="s">
        <v>167</v>
      </c>
      <c r="C14" s="179"/>
      <c r="D14" s="194">
        <f t="shared" si="8"/>
        <v>10.699999999999989</v>
      </c>
      <c r="E14" s="181">
        <f t="shared" si="8"/>
        <v>0</v>
      </c>
      <c r="F14" s="181">
        <f t="shared" si="8"/>
        <v>0</v>
      </c>
      <c r="G14" s="181">
        <f t="shared" si="8"/>
        <v>0</v>
      </c>
      <c r="H14" s="181">
        <f t="shared" si="8"/>
        <v>0</v>
      </c>
      <c r="I14" s="181">
        <f t="shared" si="8"/>
        <v>0</v>
      </c>
      <c r="J14" s="193">
        <f t="shared" si="8"/>
        <v>0</v>
      </c>
      <c r="K14" s="369">
        <f t="shared" si="8"/>
        <v>0</v>
      </c>
      <c r="L14" s="350">
        <f t="shared" si="8"/>
        <v>0</v>
      </c>
      <c r="M14" s="181">
        <f t="shared" si="8"/>
        <v>0</v>
      </c>
      <c r="N14" s="181">
        <f t="shared" si="8"/>
        <v>0</v>
      </c>
      <c r="O14" s="193">
        <f t="shared" si="8"/>
        <v>0</v>
      </c>
      <c r="P14" s="369">
        <f t="shared" si="8"/>
        <v>0</v>
      </c>
      <c r="Q14" s="350">
        <f t="shared" si="8"/>
        <v>0</v>
      </c>
      <c r="R14" s="181">
        <f t="shared" si="8"/>
        <v>0</v>
      </c>
      <c r="S14" s="181">
        <f t="shared" si="8"/>
        <v>0</v>
      </c>
      <c r="T14" s="193">
        <f t="shared" si="8"/>
        <v>0</v>
      </c>
      <c r="U14" s="369">
        <f t="shared" si="8"/>
        <v>0</v>
      </c>
      <c r="V14" s="350">
        <f t="shared" si="8"/>
        <v>0</v>
      </c>
      <c r="W14" s="181">
        <f t="shared" si="8"/>
        <v>0</v>
      </c>
      <c r="X14" s="181">
        <f t="shared" si="8"/>
        <v>-15.349999999999994</v>
      </c>
      <c r="Y14" s="193">
        <f t="shared" si="8"/>
        <v>-15.350000000000001</v>
      </c>
      <c r="Z14" s="369">
        <f t="shared" si="8"/>
        <v>-15.350000000000001</v>
      </c>
      <c r="AA14" s="350">
        <f t="shared" si="8"/>
        <v>-15.350000000000001</v>
      </c>
      <c r="AB14" s="181">
        <f t="shared" si="8"/>
        <v>-15.35</v>
      </c>
      <c r="AC14" s="181">
        <f t="shared" si="8"/>
        <v>-15.349999999999996</v>
      </c>
      <c r="AD14" s="193">
        <f t="shared" si="8"/>
        <v>0</v>
      </c>
      <c r="AE14" s="369">
        <v>0</v>
      </c>
      <c r="AF14"/>
      <c r="AG14"/>
      <c r="AH14"/>
      <c r="AI14"/>
      <c r="AJ14"/>
      <c r="AK14"/>
      <c r="AL14"/>
      <c r="AM14"/>
      <c r="AN14"/>
      <c r="AO14"/>
      <c r="AP14"/>
    </row>
    <row r="15" spans="1:42" s="83" customFormat="1" ht="12.75" customHeight="1">
      <c r="A15" s="94"/>
      <c r="B15" s="93" t="s">
        <v>168</v>
      </c>
      <c r="C15" s="179"/>
      <c r="D15" s="181"/>
      <c r="E15" s="194">
        <f>F11-E11</f>
        <v>27.57</v>
      </c>
      <c r="F15" s="194">
        <f>G11-F11</f>
        <v>27.43</v>
      </c>
      <c r="G15" s="185">
        <v>65</v>
      </c>
      <c r="H15" s="185">
        <v>25</v>
      </c>
      <c r="I15" s="179">
        <f>(I$5-I$32)*(1-I$6)</f>
        <v>38.127779999999973</v>
      </c>
      <c r="J15" s="192">
        <f>(J$5-J$32)*(1-J$6)</f>
        <v>38.127780000000023</v>
      </c>
      <c r="K15" s="369">
        <f t="shared" si="8"/>
        <v>0</v>
      </c>
      <c r="L15" s="350">
        <f t="shared" si="8"/>
        <v>0</v>
      </c>
      <c r="M15" s="181">
        <f t="shared" si="8"/>
        <v>0</v>
      </c>
      <c r="N15" s="181">
        <f t="shared" si="8"/>
        <v>0</v>
      </c>
      <c r="O15" s="193">
        <f t="shared" si="8"/>
        <v>0</v>
      </c>
      <c r="P15" s="369">
        <f t="shared" si="8"/>
        <v>0</v>
      </c>
      <c r="Q15" s="350">
        <f t="shared" si="8"/>
        <v>0</v>
      </c>
      <c r="R15" s="181">
        <f t="shared" si="8"/>
        <v>0</v>
      </c>
      <c r="S15" s="181">
        <f t="shared" si="8"/>
        <v>0</v>
      </c>
      <c r="T15" s="193">
        <f t="shared" si="8"/>
        <v>0</v>
      </c>
      <c r="U15" s="369">
        <f t="shared" si="8"/>
        <v>0</v>
      </c>
      <c r="V15" s="350">
        <f t="shared" si="8"/>
        <v>0</v>
      </c>
      <c r="W15" s="181">
        <f t="shared" si="8"/>
        <v>0</v>
      </c>
      <c r="X15" s="181">
        <f t="shared" si="8"/>
        <v>0</v>
      </c>
      <c r="Y15" s="193">
        <f t="shared" si="8"/>
        <v>0</v>
      </c>
      <c r="Z15" s="369">
        <f t="shared" si="8"/>
        <v>0</v>
      </c>
      <c r="AA15" s="350">
        <f t="shared" si="8"/>
        <v>0</v>
      </c>
      <c r="AB15" s="181">
        <f t="shared" si="8"/>
        <v>0</v>
      </c>
      <c r="AC15" s="181">
        <f t="shared" si="8"/>
        <v>0</v>
      </c>
      <c r="AD15" s="193">
        <f t="shared" si="8"/>
        <v>-36.875926666666658</v>
      </c>
      <c r="AE15" s="369">
        <v>-36.875926666666658</v>
      </c>
      <c r="AF15"/>
      <c r="AG15"/>
      <c r="AH15"/>
      <c r="AI15"/>
      <c r="AJ15"/>
      <c r="AK15"/>
      <c r="AL15"/>
      <c r="AM15"/>
      <c r="AN15"/>
      <c r="AO15"/>
      <c r="AP15"/>
    </row>
    <row r="16" spans="1:42" s="83" customFormat="1" ht="12.75" customHeight="1">
      <c r="A16" s="94"/>
      <c r="B16" s="93" t="s">
        <v>169</v>
      </c>
      <c r="C16" s="179"/>
      <c r="D16" s="179"/>
      <c r="E16" s="180"/>
      <c r="F16" s="180"/>
      <c r="G16" s="180"/>
      <c r="H16" s="180"/>
      <c r="I16" s="179"/>
      <c r="J16" s="192"/>
      <c r="K16" s="351">
        <f t="shared" ref="K16:AE16" si="9">(K$5-K$32)*(1-K$6)</f>
        <v>41.678422857142834</v>
      </c>
      <c r="L16" s="352">
        <f t="shared" si="9"/>
        <v>41.678422857142834</v>
      </c>
      <c r="M16" s="179">
        <f t="shared" si="9"/>
        <v>56.29148</v>
      </c>
      <c r="N16" s="179">
        <f t="shared" si="9"/>
        <v>56.291479999999957</v>
      </c>
      <c r="O16" s="192">
        <f t="shared" si="9"/>
        <v>56.291479999999986</v>
      </c>
      <c r="P16" s="351">
        <f t="shared" si="9"/>
        <v>56.291479999999957</v>
      </c>
      <c r="Q16" s="352">
        <f t="shared" si="9"/>
        <v>64.146244897959164</v>
      </c>
      <c r="R16" s="179">
        <f t="shared" si="9"/>
        <v>64.146244897959164</v>
      </c>
      <c r="S16" s="179">
        <f t="shared" si="9"/>
        <v>64.146244897959164</v>
      </c>
      <c r="T16" s="192">
        <f t="shared" si="9"/>
        <v>64.146244897959178</v>
      </c>
      <c r="U16" s="351">
        <f t="shared" si="9"/>
        <v>64.146244897959178</v>
      </c>
      <c r="V16" s="352">
        <f t="shared" si="9"/>
        <v>64.146244897959178</v>
      </c>
      <c r="W16" s="179">
        <f t="shared" si="9"/>
        <v>64.146244897959178</v>
      </c>
      <c r="X16" s="179">
        <f t="shared" si="9"/>
        <v>59.743333333333347</v>
      </c>
      <c r="Y16" s="192">
        <f t="shared" si="9"/>
        <v>59.743333333333325</v>
      </c>
      <c r="Z16" s="351">
        <f t="shared" si="9"/>
        <v>59.743333333333325</v>
      </c>
      <c r="AA16" s="352">
        <f t="shared" si="9"/>
        <v>59.743333333333325</v>
      </c>
      <c r="AB16" s="179">
        <f t="shared" si="9"/>
        <v>59.743333333333325</v>
      </c>
      <c r="AC16" s="179">
        <f t="shared" si="9"/>
        <v>59.743333333333325</v>
      </c>
      <c r="AD16" s="192">
        <f t="shared" si="9"/>
        <v>63.02692666666664</v>
      </c>
      <c r="AE16" s="351">
        <f t="shared" si="9"/>
        <v>63.02692666666664</v>
      </c>
      <c r="AF16"/>
      <c r="AG16"/>
      <c r="AH16"/>
      <c r="AI16"/>
      <c r="AJ16"/>
      <c r="AK16"/>
      <c r="AL16"/>
      <c r="AM16"/>
      <c r="AN16"/>
      <c r="AO16"/>
      <c r="AP16"/>
    </row>
    <row r="17" spans="1:42" s="83" customFormat="1" ht="12.75" customHeight="1" thickBot="1">
      <c r="B17" s="95" t="s">
        <v>129</v>
      </c>
      <c r="C17" s="195"/>
      <c r="D17" s="195">
        <f t="shared" ref="D17:Z17" si="10">+SUM(D13:D16)</f>
        <v>10.150000000000034</v>
      </c>
      <c r="E17" s="196">
        <f t="shared" si="10"/>
        <v>23.82</v>
      </c>
      <c r="F17" s="196">
        <f t="shared" si="10"/>
        <v>4.7299999999999542</v>
      </c>
      <c r="G17" s="196">
        <f t="shared" si="10"/>
        <v>43.488666666666688</v>
      </c>
      <c r="H17" s="196">
        <f t="shared" si="10"/>
        <v>4.1686666666666383</v>
      </c>
      <c r="I17" s="196">
        <f t="shared" si="10"/>
        <v>17.296446666666668</v>
      </c>
      <c r="J17" s="197">
        <f t="shared" si="10"/>
        <v>17.296446666666718</v>
      </c>
      <c r="K17" s="370">
        <f t="shared" si="10"/>
        <v>16.676375238095204</v>
      </c>
      <c r="L17" s="371">
        <f t="shared" si="10"/>
        <v>16.676375238095204</v>
      </c>
      <c r="M17" s="196">
        <f t="shared" si="10"/>
        <v>29.183479999999996</v>
      </c>
      <c r="N17" s="196">
        <f t="shared" si="10"/>
        <v>29.183479999999953</v>
      </c>
      <c r="O17" s="197">
        <f t="shared" si="10"/>
        <v>29.183480000000039</v>
      </c>
      <c r="P17" s="370">
        <f t="shared" si="10"/>
        <v>29.183479999999953</v>
      </c>
      <c r="Q17" s="371">
        <f t="shared" si="10"/>
        <v>31.866448979591794</v>
      </c>
      <c r="R17" s="196">
        <f t="shared" si="10"/>
        <v>31.866448979591794</v>
      </c>
      <c r="S17" s="196">
        <f t="shared" si="10"/>
        <v>31.866448979591794</v>
      </c>
      <c r="T17" s="197">
        <f t="shared" si="10"/>
        <v>31.866448979591823</v>
      </c>
      <c r="U17" s="370">
        <f t="shared" si="10"/>
        <v>31.866448979591823</v>
      </c>
      <c r="V17" s="371">
        <f t="shared" si="10"/>
        <v>31.866448979591823</v>
      </c>
      <c r="W17" s="196">
        <f t="shared" si="10"/>
        <v>31.866448979591823</v>
      </c>
      <c r="X17" s="196">
        <f t="shared" si="10"/>
        <v>44.393333333333409</v>
      </c>
      <c r="Y17" s="197">
        <f t="shared" si="10"/>
        <v>44.393333333333324</v>
      </c>
      <c r="Z17" s="370">
        <f t="shared" si="10"/>
        <v>44.393333333333324</v>
      </c>
      <c r="AA17" s="371">
        <f t="shared" ref="AA17:AE17" si="11">+SUM(AA13:AA16)</f>
        <v>44.393333333333324</v>
      </c>
      <c r="AB17" s="196">
        <f t="shared" si="11"/>
        <v>44.393333333333324</v>
      </c>
      <c r="AC17" s="196">
        <f t="shared" si="11"/>
        <v>44.393333333333331</v>
      </c>
      <c r="AD17" s="197">
        <f t="shared" si="11"/>
        <v>26.150999999999982</v>
      </c>
      <c r="AE17" s="370">
        <f t="shared" si="11"/>
        <v>26.150999999999982</v>
      </c>
      <c r="AF17"/>
      <c r="AG17"/>
      <c r="AH17"/>
      <c r="AI17"/>
      <c r="AJ17"/>
      <c r="AK17"/>
      <c r="AL17"/>
      <c r="AM17"/>
      <c r="AN17"/>
      <c r="AO17"/>
      <c r="AP17"/>
    </row>
    <row r="18" spans="1:42" s="96" customFormat="1" ht="12.75" customHeight="1" thickBot="1">
      <c r="B18" s="97" t="s">
        <v>81</v>
      </c>
      <c r="C18" s="198">
        <v>551</v>
      </c>
      <c r="D18" s="198">
        <f t="shared" ref="D18:AE18" si="12">+SUM(D9:D12)</f>
        <v>576.79999999999995</v>
      </c>
      <c r="E18" s="199">
        <f t="shared" si="12"/>
        <v>586.95000000000005</v>
      </c>
      <c r="F18" s="199">
        <f t="shared" si="12"/>
        <v>610.7700000000001</v>
      </c>
      <c r="G18" s="199">
        <f t="shared" si="12"/>
        <v>615.5</v>
      </c>
      <c r="H18" s="199">
        <f t="shared" si="12"/>
        <v>658.98866666666663</v>
      </c>
      <c r="I18" s="199">
        <f t="shared" si="12"/>
        <v>663.15733333333333</v>
      </c>
      <c r="J18" s="200">
        <f t="shared" si="12"/>
        <v>680.45378000000005</v>
      </c>
      <c r="K18" s="372">
        <f t="shared" si="12"/>
        <v>697.75022666666678</v>
      </c>
      <c r="L18" s="373">
        <f t="shared" si="12"/>
        <v>714.42660190476181</v>
      </c>
      <c r="M18" s="199">
        <f t="shared" si="12"/>
        <v>731.10297714285718</v>
      </c>
      <c r="N18" s="199">
        <f t="shared" si="12"/>
        <v>760.28645714285699</v>
      </c>
      <c r="O18" s="200">
        <f t="shared" si="12"/>
        <v>789.46993714285702</v>
      </c>
      <c r="P18" s="372">
        <f t="shared" si="12"/>
        <v>818.65341714285705</v>
      </c>
      <c r="Q18" s="373">
        <f t="shared" si="12"/>
        <v>847.83689714285708</v>
      </c>
      <c r="R18" s="199">
        <f t="shared" si="12"/>
        <v>879.70334612244892</v>
      </c>
      <c r="S18" s="199">
        <f t="shared" si="12"/>
        <v>911.56979510204064</v>
      </c>
      <c r="T18" s="200">
        <f t="shared" si="12"/>
        <v>943.43624408163237</v>
      </c>
      <c r="U18" s="372">
        <f t="shared" si="12"/>
        <v>975.3026930612242</v>
      </c>
      <c r="V18" s="373">
        <f t="shared" si="12"/>
        <v>1007.169142040816</v>
      </c>
      <c r="W18" s="199">
        <f t="shared" si="12"/>
        <v>1039.0355910204078</v>
      </c>
      <c r="X18" s="199">
        <f t="shared" si="12"/>
        <v>1070.9020399999995</v>
      </c>
      <c r="Y18" s="200">
        <f t="shared" si="12"/>
        <v>1115.2953733333329</v>
      </c>
      <c r="Z18" s="372">
        <f t="shared" si="12"/>
        <v>1159.6887066666663</v>
      </c>
      <c r="AA18" s="373">
        <f t="shared" si="12"/>
        <v>1204.0820399999998</v>
      </c>
      <c r="AB18" s="199">
        <f t="shared" si="12"/>
        <v>1248.475373333333</v>
      </c>
      <c r="AC18" s="199">
        <f t="shared" si="12"/>
        <v>1292.8687066666662</v>
      </c>
      <c r="AD18" s="200">
        <f t="shared" si="12"/>
        <v>1337.2620399999996</v>
      </c>
      <c r="AE18" s="372">
        <f t="shared" si="12"/>
        <v>1363.4130399999995</v>
      </c>
      <c r="AF18"/>
      <c r="AG18"/>
      <c r="AH18"/>
      <c r="AI18"/>
      <c r="AJ18"/>
      <c r="AK18"/>
      <c r="AL18"/>
      <c r="AM18"/>
      <c r="AN18"/>
      <c r="AO18"/>
      <c r="AP18"/>
    </row>
    <row r="19" spans="1:42" s="96" customFormat="1" ht="12.75" customHeight="1">
      <c r="B19" s="98"/>
      <c r="C19" s="201"/>
      <c r="D19" s="201"/>
      <c r="E19" s="202"/>
      <c r="F19" s="202"/>
      <c r="G19" s="202"/>
      <c r="H19" s="202"/>
      <c r="I19" s="202"/>
      <c r="J19" s="374"/>
      <c r="K19" s="375"/>
      <c r="L19" s="376"/>
      <c r="M19" s="202"/>
      <c r="N19" s="202"/>
      <c r="O19" s="374"/>
      <c r="P19" s="375"/>
      <c r="Q19" s="376"/>
      <c r="R19" s="202"/>
      <c r="S19" s="202"/>
      <c r="T19" s="374"/>
      <c r="U19" s="375"/>
      <c r="V19" s="376"/>
      <c r="W19" s="202"/>
      <c r="X19" s="202"/>
      <c r="Y19" s="374"/>
      <c r="Z19" s="375"/>
      <c r="AA19" s="376"/>
      <c r="AB19" s="203"/>
      <c r="AC19" s="204"/>
      <c r="AD19" s="204"/>
      <c r="AE19" s="377"/>
      <c r="AF19"/>
      <c r="AG19"/>
      <c r="AH19"/>
      <c r="AI19"/>
      <c r="AJ19"/>
      <c r="AK19"/>
      <c r="AL19"/>
      <c r="AM19"/>
      <c r="AN19"/>
      <c r="AO19"/>
      <c r="AP19"/>
    </row>
    <row r="20" spans="1:42" s="83" customFormat="1" ht="12.75" customHeight="1">
      <c r="B20" s="91" t="s">
        <v>73</v>
      </c>
      <c r="C20" s="179"/>
      <c r="D20" s="179"/>
      <c r="E20" s="180"/>
      <c r="F20" s="180"/>
      <c r="G20" s="179"/>
      <c r="H20" s="180"/>
      <c r="I20" s="180"/>
      <c r="J20" s="348"/>
      <c r="K20" s="349"/>
      <c r="L20" s="352"/>
      <c r="M20" s="179"/>
      <c r="N20" s="179"/>
      <c r="O20" s="192"/>
      <c r="P20" s="351"/>
      <c r="Q20" s="352"/>
      <c r="R20" s="179"/>
      <c r="S20" s="179"/>
      <c r="T20" s="192"/>
      <c r="U20" s="351"/>
      <c r="V20" s="352"/>
      <c r="W20" s="179"/>
      <c r="X20" s="179"/>
      <c r="Y20" s="192"/>
      <c r="Z20" s="351"/>
      <c r="AA20" s="352"/>
      <c r="AB20" s="183"/>
      <c r="AC20" s="184"/>
      <c r="AD20" s="184"/>
      <c r="AE20" s="356"/>
      <c r="AF20"/>
      <c r="AG20"/>
      <c r="AH20"/>
      <c r="AI20"/>
      <c r="AJ20"/>
      <c r="AK20"/>
      <c r="AL20"/>
      <c r="AM20"/>
      <c r="AN20"/>
      <c r="AO20"/>
      <c r="AP20"/>
    </row>
    <row r="21" spans="1:42" s="83" customFormat="1" ht="12.75" customHeight="1">
      <c r="B21" s="40" t="s">
        <v>80</v>
      </c>
      <c r="C21" s="179"/>
      <c r="D21" s="185">
        <v>2030.6</v>
      </c>
      <c r="E21" s="185">
        <v>2003.47</v>
      </c>
      <c r="F21" s="185">
        <v>1969.7</v>
      </c>
      <c r="G21" s="185">
        <v>1958.9</v>
      </c>
      <c r="H21" s="186">
        <v>1912.7604333333334</v>
      </c>
      <c r="I21" s="186">
        <v>1867.9528666666668</v>
      </c>
      <c r="J21" s="357">
        <v>1823.1453000000001</v>
      </c>
      <c r="K21" s="358">
        <v>1778.3377333333333</v>
      </c>
      <c r="L21" s="359">
        <v>1719.9476666666667</v>
      </c>
      <c r="M21" s="186">
        <v>1661.5576000000001</v>
      </c>
      <c r="N21" s="186">
        <v>1532.2082</v>
      </c>
      <c r="O21" s="357">
        <v>1402.8588000000002</v>
      </c>
      <c r="P21" s="358">
        <v>1273.5094000000001</v>
      </c>
      <c r="Q21" s="359">
        <v>1144.1600000000003</v>
      </c>
      <c r="R21" s="187">
        <f t="shared" ref="R21:X21" si="13">Q21-$Q21/7</f>
        <v>980.70857142857176</v>
      </c>
      <c r="S21" s="187">
        <f t="shared" si="13"/>
        <v>817.25714285714321</v>
      </c>
      <c r="T21" s="360">
        <f t="shared" si="13"/>
        <v>653.80571428571466</v>
      </c>
      <c r="U21" s="361">
        <f t="shared" si="13"/>
        <v>490.35428571428605</v>
      </c>
      <c r="V21" s="362">
        <f t="shared" si="13"/>
        <v>326.90285714285744</v>
      </c>
      <c r="W21" s="187">
        <f t="shared" si="13"/>
        <v>163.45142857142883</v>
      </c>
      <c r="X21" s="187">
        <f t="shared" si="13"/>
        <v>2.2737367544323206E-13</v>
      </c>
      <c r="Y21" s="189">
        <v>0</v>
      </c>
      <c r="Z21" s="363">
        <v>0</v>
      </c>
      <c r="AA21" s="364">
        <v>0</v>
      </c>
      <c r="AB21" s="188">
        <v>0</v>
      </c>
      <c r="AC21" s="188">
        <v>0</v>
      </c>
      <c r="AD21" s="189">
        <v>0</v>
      </c>
      <c r="AE21" s="363">
        <v>0</v>
      </c>
      <c r="AF21"/>
      <c r="AG21"/>
      <c r="AH21"/>
      <c r="AI21"/>
      <c r="AJ21"/>
      <c r="AK21"/>
      <c r="AL21"/>
      <c r="AM21"/>
      <c r="AN21"/>
      <c r="AO21"/>
      <c r="AP21"/>
    </row>
    <row r="22" spans="1:42" s="83" customFormat="1" ht="12.75" customHeight="1">
      <c r="B22" s="93" t="s">
        <v>164</v>
      </c>
      <c r="C22" s="179"/>
      <c r="D22" s="185">
        <v>633.5</v>
      </c>
      <c r="E22" s="185">
        <v>957.5</v>
      </c>
      <c r="F22" s="185">
        <v>955.6</v>
      </c>
      <c r="G22" s="185">
        <v>950.2</v>
      </c>
      <c r="H22" s="180">
        <f>G22</f>
        <v>950.2</v>
      </c>
      <c r="I22" s="180">
        <f t="shared" ref="I22:X23" si="14">H22</f>
        <v>950.2</v>
      </c>
      <c r="J22" s="348">
        <f t="shared" si="14"/>
        <v>950.2</v>
      </c>
      <c r="K22" s="349">
        <f t="shared" si="14"/>
        <v>950.2</v>
      </c>
      <c r="L22" s="365">
        <f t="shared" si="14"/>
        <v>950.2</v>
      </c>
      <c r="M22" s="180">
        <f t="shared" si="14"/>
        <v>950.2</v>
      </c>
      <c r="N22" s="180">
        <f t="shared" si="14"/>
        <v>950.2</v>
      </c>
      <c r="O22" s="348">
        <f t="shared" si="14"/>
        <v>950.2</v>
      </c>
      <c r="P22" s="349">
        <f t="shared" si="14"/>
        <v>950.2</v>
      </c>
      <c r="Q22" s="365">
        <f t="shared" si="14"/>
        <v>950.2</v>
      </c>
      <c r="R22" s="180">
        <f t="shared" si="14"/>
        <v>950.2</v>
      </c>
      <c r="S22" s="180">
        <f t="shared" si="14"/>
        <v>950.2</v>
      </c>
      <c r="T22" s="348">
        <f t="shared" si="14"/>
        <v>950.2</v>
      </c>
      <c r="U22" s="349">
        <f t="shared" si="14"/>
        <v>950.2</v>
      </c>
      <c r="V22" s="365">
        <f t="shared" si="14"/>
        <v>950.2</v>
      </c>
      <c r="W22" s="180">
        <f t="shared" si="14"/>
        <v>950.2</v>
      </c>
      <c r="X22" s="180">
        <f t="shared" si="14"/>
        <v>950.2</v>
      </c>
      <c r="Y22" s="191">
        <f t="shared" ref="Y22:AD22" si="15">X22-$X22/6</f>
        <v>791.83333333333337</v>
      </c>
      <c r="Z22" s="366">
        <f t="shared" si="15"/>
        <v>633.4666666666667</v>
      </c>
      <c r="AA22" s="367">
        <f t="shared" si="15"/>
        <v>475.1</v>
      </c>
      <c r="AB22" s="190">
        <f t="shared" si="15"/>
        <v>316.73333333333335</v>
      </c>
      <c r="AC22" s="190">
        <f t="shared" si="15"/>
        <v>158.36666666666667</v>
      </c>
      <c r="AD22" s="191">
        <f t="shared" si="15"/>
        <v>0</v>
      </c>
      <c r="AE22" s="363">
        <v>0</v>
      </c>
      <c r="AF22"/>
      <c r="AG22"/>
      <c r="AH22"/>
      <c r="AI22"/>
      <c r="AJ22"/>
      <c r="AK22"/>
      <c r="AL22"/>
      <c r="AM22"/>
      <c r="AN22"/>
      <c r="AO22"/>
      <c r="AP22"/>
    </row>
    <row r="23" spans="1:42" s="83" customFormat="1" ht="12.75" customHeight="1">
      <c r="B23" s="93" t="s">
        <v>165</v>
      </c>
      <c r="C23" s="179"/>
      <c r="D23" s="179"/>
      <c r="E23" s="180"/>
      <c r="F23" s="185">
        <v>78.7</v>
      </c>
      <c r="G23" s="185">
        <f>274.08+3.45*3+0.1</f>
        <v>284.53000000000003</v>
      </c>
      <c r="H23" s="180">
        <f t="shared" ref="H23:J23" si="16">+G23+G27</f>
        <v>429.53000000000003</v>
      </c>
      <c r="I23" s="180">
        <f t="shared" si="16"/>
        <v>614.53</v>
      </c>
      <c r="J23" s="348">
        <f t="shared" si="16"/>
        <v>767.04111999999986</v>
      </c>
      <c r="K23" s="349">
        <f>+J23+J27</f>
        <v>919.55223999999998</v>
      </c>
      <c r="L23" s="365">
        <f>K23</f>
        <v>919.55223999999998</v>
      </c>
      <c r="M23" s="180">
        <f t="shared" si="14"/>
        <v>919.55223999999998</v>
      </c>
      <c r="N23" s="180">
        <f t="shared" si="14"/>
        <v>919.55223999999998</v>
      </c>
      <c r="O23" s="348">
        <f t="shared" si="14"/>
        <v>919.55223999999998</v>
      </c>
      <c r="P23" s="349">
        <f t="shared" si="14"/>
        <v>919.55223999999998</v>
      </c>
      <c r="Q23" s="365">
        <f t="shared" si="14"/>
        <v>919.55223999999998</v>
      </c>
      <c r="R23" s="180">
        <f t="shared" si="14"/>
        <v>919.55223999999998</v>
      </c>
      <c r="S23" s="180">
        <f t="shared" si="14"/>
        <v>919.55223999999998</v>
      </c>
      <c r="T23" s="348">
        <f t="shared" si="14"/>
        <v>919.55223999999998</v>
      </c>
      <c r="U23" s="349">
        <f t="shared" si="14"/>
        <v>919.55223999999998</v>
      </c>
      <c r="V23" s="365">
        <f t="shared" si="14"/>
        <v>919.55223999999998</v>
      </c>
      <c r="W23" s="180">
        <f t="shared" si="14"/>
        <v>919.55223999999998</v>
      </c>
      <c r="X23" s="180">
        <f t="shared" si="14"/>
        <v>919.55223999999998</v>
      </c>
      <c r="Y23" s="348">
        <f t="shared" ref="Y23:AD23" si="17">X23</f>
        <v>919.55223999999998</v>
      </c>
      <c r="Z23" s="349">
        <f t="shared" si="17"/>
        <v>919.55223999999998</v>
      </c>
      <c r="AA23" s="365">
        <f t="shared" si="17"/>
        <v>919.55223999999998</v>
      </c>
      <c r="AB23" s="180">
        <f t="shared" si="17"/>
        <v>919.55223999999998</v>
      </c>
      <c r="AC23" s="180">
        <f t="shared" si="17"/>
        <v>919.55223999999998</v>
      </c>
      <c r="AD23" s="348">
        <f t="shared" si="17"/>
        <v>919.55223999999998</v>
      </c>
      <c r="AE23" s="366">
        <f t="shared" ref="AE23" si="18">AD23-$X23/6</f>
        <v>766.29353333333336</v>
      </c>
      <c r="AF23"/>
      <c r="AG23"/>
      <c r="AH23"/>
      <c r="AI23"/>
      <c r="AJ23"/>
      <c r="AK23"/>
      <c r="AL23"/>
      <c r="AM23"/>
      <c r="AN23"/>
      <c r="AO23"/>
      <c r="AP23"/>
    </row>
    <row r="24" spans="1:42" s="83" customFormat="1" ht="12.75" customHeight="1">
      <c r="B24" s="93" t="s">
        <v>166</v>
      </c>
      <c r="C24" s="179"/>
      <c r="D24" s="179"/>
      <c r="E24" s="180"/>
      <c r="F24" s="179"/>
      <c r="G24" s="179"/>
      <c r="H24" s="180"/>
      <c r="I24" s="180"/>
      <c r="J24" s="348"/>
      <c r="K24" s="368"/>
      <c r="L24" s="352">
        <f>K24+K28</f>
        <v>166.71369142857139</v>
      </c>
      <c r="M24" s="179">
        <f t="shared" ref="M24:AE24" si="19">L24+L28</f>
        <v>333.42738285714279</v>
      </c>
      <c r="N24" s="179">
        <f t="shared" si="19"/>
        <v>558.59330285714282</v>
      </c>
      <c r="O24" s="192">
        <f t="shared" si="19"/>
        <v>783.75922285714273</v>
      </c>
      <c r="P24" s="351">
        <f t="shared" si="19"/>
        <v>1008.9251428571428</v>
      </c>
      <c r="Q24" s="352">
        <f t="shared" si="19"/>
        <v>1234.0910628571426</v>
      </c>
      <c r="R24" s="179">
        <f t="shared" si="19"/>
        <v>1490.6760424489794</v>
      </c>
      <c r="S24" s="179">
        <f t="shared" si="19"/>
        <v>1747.2610220408162</v>
      </c>
      <c r="T24" s="192">
        <f t="shared" si="19"/>
        <v>2003.846001632653</v>
      </c>
      <c r="U24" s="351">
        <f t="shared" si="19"/>
        <v>2260.4309812244896</v>
      </c>
      <c r="V24" s="352">
        <f t="shared" si="19"/>
        <v>2517.0159608163262</v>
      </c>
      <c r="W24" s="179">
        <f t="shared" si="19"/>
        <v>2773.6009404081628</v>
      </c>
      <c r="X24" s="179">
        <f t="shared" si="19"/>
        <v>3030.1859199999994</v>
      </c>
      <c r="Y24" s="192">
        <f t="shared" si="19"/>
        <v>3269.1592533333328</v>
      </c>
      <c r="Z24" s="351">
        <f t="shared" si="19"/>
        <v>3508.1325866666662</v>
      </c>
      <c r="AA24" s="352">
        <f t="shared" si="19"/>
        <v>3747.1059199999995</v>
      </c>
      <c r="AB24" s="179">
        <f t="shared" si="19"/>
        <v>3986.0792533333329</v>
      </c>
      <c r="AC24" s="179">
        <f t="shared" si="19"/>
        <v>4225.0525866666667</v>
      </c>
      <c r="AD24" s="192">
        <f t="shared" si="19"/>
        <v>4464.02592</v>
      </c>
      <c r="AE24" s="351">
        <f t="shared" si="19"/>
        <v>4716.1336266666667</v>
      </c>
      <c r="AF24"/>
      <c r="AG24"/>
      <c r="AH24"/>
      <c r="AI24"/>
      <c r="AJ24"/>
      <c r="AK24"/>
      <c r="AL24"/>
      <c r="AM24"/>
      <c r="AN24"/>
      <c r="AO24"/>
      <c r="AP24"/>
    </row>
    <row r="25" spans="1:42" s="83" customFormat="1" ht="12.75" customHeight="1">
      <c r="B25" s="93" t="s">
        <v>79</v>
      </c>
      <c r="C25" s="179"/>
      <c r="D25" s="181">
        <f t="shared" ref="D25:AD27" si="20">E21-D21</f>
        <v>-27.129999999999882</v>
      </c>
      <c r="E25" s="181">
        <f t="shared" si="20"/>
        <v>-33.769999999999982</v>
      </c>
      <c r="F25" s="181">
        <f t="shared" si="20"/>
        <v>-10.799999999999955</v>
      </c>
      <c r="G25" s="181">
        <f t="shared" si="20"/>
        <v>-46.139566666666724</v>
      </c>
      <c r="H25" s="181">
        <f t="shared" si="20"/>
        <v>-44.807566666666617</v>
      </c>
      <c r="I25" s="181">
        <f t="shared" si="20"/>
        <v>-44.807566666666617</v>
      </c>
      <c r="J25" s="193">
        <f t="shared" si="20"/>
        <v>-44.807566666666844</v>
      </c>
      <c r="K25" s="369">
        <f t="shared" si="20"/>
        <v>-58.390066666666598</v>
      </c>
      <c r="L25" s="350">
        <f t="shared" si="20"/>
        <v>-58.390066666666598</v>
      </c>
      <c r="M25" s="181">
        <f t="shared" si="20"/>
        <v>-129.34940000000006</v>
      </c>
      <c r="N25" s="181">
        <f t="shared" si="20"/>
        <v>-129.34939999999983</v>
      </c>
      <c r="O25" s="193">
        <f t="shared" si="20"/>
        <v>-129.34940000000006</v>
      </c>
      <c r="P25" s="369">
        <f t="shared" si="20"/>
        <v>-129.34939999999983</v>
      </c>
      <c r="Q25" s="350">
        <f t="shared" si="20"/>
        <v>-163.45142857142855</v>
      </c>
      <c r="R25" s="181">
        <f t="shared" si="20"/>
        <v>-163.45142857142855</v>
      </c>
      <c r="S25" s="181">
        <f t="shared" si="20"/>
        <v>-163.45142857142855</v>
      </c>
      <c r="T25" s="193">
        <f t="shared" si="20"/>
        <v>-163.45142857142861</v>
      </c>
      <c r="U25" s="369">
        <f t="shared" si="20"/>
        <v>-163.45142857142861</v>
      </c>
      <c r="V25" s="350">
        <f t="shared" si="20"/>
        <v>-163.45142857142861</v>
      </c>
      <c r="W25" s="181">
        <f t="shared" si="20"/>
        <v>-163.45142857142861</v>
      </c>
      <c r="X25" s="181">
        <f t="shared" si="20"/>
        <v>-2.2737367544323206E-13</v>
      </c>
      <c r="Y25" s="193">
        <f t="shared" si="20"/>
        <v>0</v>
      </c>
      <c r="Z25" s="369">
        <f t="shared" si="20"/>
        <v>0</v>
      </c>
      <c r="AA25" s="350">
        <f t="shared" si="20"/>
        <v>0</v>
      </c>
      <c r="AB25" s="181">
        <f t="shared" si="20"/>
        <v>0</v>
      </c>
      <c r="AC25" s="181">
        <f t="shared" si="20"/>
        <v>0</v>
      </c>
      <c r="AD25" s="193">
        <f t="shared" si="20"/>
        <v>0</v>
      </c>
      <c r="AE25" s="369">
        <v>0</v>
      </c>
      <c r="AF25"/>
      <c r="AG25"/>
      <c r="AH25"/>
      <c r="AI25"/>
      <c r="AJ25"/>
      <c r="AK25"/>
      <c r="AL25"/>
      <c r="AM25"/>
      <c r="AN25"/>
      <c r="AO25"/>
      <c r="AP25"/>
    </row>
    <row r="26" spans="1:42" s="83" customFormat="1" ht="12.75" customHeight="1">
      <c r="B26" s="93" t="s">
        <v>167</v>
      </c>
      <c r="C26" s="179"/>
      <c r="D26" s="194">
        <f t="shared" si="20"/>
        <v>324</v>
      </c>
      <c r="E26" s="181">
        <f t="shared" si="20"/>
        <v>-1.8999999999999773</v>
      </c>
      <c r="F26" s="181">
        <f t="shared" si="20"/>
        <v>-5.3999999999999773</v>
      </c>
      <c r="G26" s="181">
        <f t="shared" si="20"/>
        <v>0</v>
      </c>
      <c r="H26" s="181">
        <f t="shared" si="20"/>
        <v>0</v>
      </c>
      <c r="I26" s="181">
        <f t="shared" si="20"/>
        <v>0</v>
      </c>
      <c r="J26" s="193">
        <f t="shared" si="20"/>
        <v>0</v>
      </c>
      <c r="K26" s="369">
        <f t="shared" si="20"/>
        <v>0</v>
      </c>
      <c r="L26" s="350">
        <f t="shared" si="20"/>
        <v>0</v>
      </c>
      <c r="M26" s="181">
        <f t="shared" si="20"/>
        <v>0</v>
      </c>
      <c r="N26" s="181">
        <f t="shared" si="20"/>
        <v>0</v>
      </c>
      <c r="O26" s="193">
        <f t="shared" si="20"/>
        <v>0</v>
      </c>
      <c r="P26" s="369">
        <f t="shared" si="20"/>
        <v>0</v>
      </c>
      <c r="Q26" s="350">
        <f t="shared" si="20"/>
        <v>0</v>
      </c>
      <c r="R26" s="181">
        <f t="shared" si="20"/>
        <v>0</v>
      </c>
      <c r="S26" s="181">
        <f t="shared" si="20"/>
        <v>0</v>
      </c>
      <c r="T26" s="193">
        <f t="shared" si="20"/>
        <v>0</v>
      </c>
      <c r="U26" s="369">
        <f t="shared" si="20"/>
        <v>0</v>
      </c>
      <c r="V26" s="350">
        <f t="shared" si="20"/>
        <v>0</v>
      </c>
      <c r="W26" s="181">
        <f t="shared" si="20"/>
        <v>0</v>
      </c>
      <c r="X26" s="181">
        <f t="shared" si="20"/>
        <v>-158.36666666666667</v>
      </c>
      <c r="Y26" s="193">
        <f t="shared" si="20"/>
        <v>-158.36666666666667</v>
      </c>
      <c r="Z26" s="369">
        <f t="shared" si="20"/>
        <v>-158.36666666666667</v>
      </c>
      <c r="AA26" s="350">
        <f t="shared" si="20"/>
        <v>-158.36666666666667</v>
      </c>
      <c r="AB26" s="181">
        <f t="shared" si="20"/>
        <v>-158.36666666666667</v>
      </c>
      <c r="AC26" s="181">
        <f t="shared" si="20"/>
        <v>-158.36666666666667</v>
      </c>
      <c r="AD26" s="193">
        <f t="shared" si="20"/>
        <v>0</v>
      </c>
      <c r="AE26" s="369">
        <v>0</v>
      </c>
      <c r="AF26"/>
      <c r="AG26"/>
      <c r="AH26"/>
      <c r="AI26"/>
      <c r="AJ26"/>
      <c r="AK26"/>
      <c r="AL26"/>
      <c r="AM26"/>
      <c r="AN26"/>
      <c r="AO26"/>
      <c r="AP26"/>
    </row>
    <row r="27" spans="1:42" s="83" customFormat="1" ht="12.75" customHeight="1">
      <c r="A27" s="94"/>
      <c r="B27" s="93" t="s">
        <v>168</v>
      </c>
      <c r="C27" s="179"/>
      <c r="D27" s="181">
        <v>0</v>
      </c>
      <c r="E27" s="194">
        <f>F23-E23</f>
        <v>78.7</v>
      </c>
      <c r="F27" s="194">
        <f>G23-F23</f>
        <v>205.83000000000004</v>
      </c>
      <c r="G27" s="185">
        <v>145</v>
      </c>
      <c r="H27" s="185">
        <v>185</v>
      </c>
      <c r="I27" s="179">
        <f>(I$5-I$32)*I$6</f>
        <v>152.51111999999995</v>
      </c>
      <c r="J27" s="192">
        <f>(J$5-J$32)*J$6</f>
        <v>152.51112000000012</v>
      </c>
      <c r="K27" s="369">
        <f t="shared" si="20"/>
        <v>0</v>
      </c>
      <c r="L27" s="350">
        <f t="shared" si="20"/>
        <v>0</v>
      </c>
      <c r="M27" s="181">
        <f t="shared" si="20"/>
        <v>0</v>
      </c>
      <c r="N27" s="181">
        <f t="shared" si="20"/>
        <v>0</v>
      </c>
      <c r="O27" s="193">
        <f t="shared" si="20"/>
        <v>0</v>
      </c>
      <c r="P27" s="369">
        <f t="shared" si="20"/>
        <v>0</v>
      </c>
      <c r="Q27" s="350">
        <f t="shared" si="20"/>
        <v>0</v>
      </c>
      <c r="R27" s="181">
        <f t="shared" si="20"/>
        <v>0</v>
      </c>
      <c r="S27" s="181">
        <f t="shared" si="20"/>
        <v>0</v>
      </c>
      <c r="T27" s="193">
        <f t="shared" si="20"/>
        <v>0</v>
      </c>
      <c r="U27" s="369">
        <f t="shared" si="20"/>
        <v>0</v>
      </c>
      <c r="V27" s="350">
        <f t="shared" si="20"/>
        <v>0</v>
      </c>
      <c r="W27" s="181">
        <f t="shared" si="20"/>
        <v>0</v>
      </c>
      <c r="X27" s="181">
        <f t="shared" si="20"/>
        <v>0</v>
      </c>
      <c r="Y27" s="193">
        <f t="shared" si="20"/>
        <v>0</v>
      </c>
      <c r="Z27" s="369">
        <f t="shared" si="20"/>
        <v>0</v>
      </c>
      <c r="AA27" s="350">
        <f t="shared" si="20"/>
        <v>0</v>
      </c>
      <c r="AB27" s="181">
        <f t="shared" si="20"/>
        <v>0</v>
      </c>
      <c r="AC27" s="181">
        <f t="shared" si="20"/>
        <v>0</v>
      </c>
      <c r="AD27" s="193">
        <f t="shared" si="20"/>
        <v>-153.25870666666663</v>
      </c>
      <c r="AE27" s="369">
        <v>-153.25870666666663</v>
      </c>
      <c r="AF27"/>
      <c r="AG27"/>
      <c r="AH27"/>
      <c r="AI27"/>
      <c r="AJ27"/>
      <c r="AK27"/>
      <c r="AL27"/>
      <c r="AM27"/>
      <c r="AN27"/>
      <c r="AO27"/>
      <c r="AP27"/>
    </row>
    <row r="28" spans="1:42" s="83" customFormat="1" ht="12.75" customHeight="1">
      <c r="A28" s="94"/>
      <c r="B28" s="93" t="s">
        <v>169</v>
      </c>
      <c r="C28" s="179"/>
      <c r="D28" s="180"/>
      <c r="E28" s="180"/>
      <c r="F28" s="179"/>
      <c r="G28" s="179"/>
      <c r="H28" s="179"/>
      <c r="I28" s="179"/>
      <c r="J28" s="192"/>
      <c r="K28" s="351">
        <f t="shared" ref="K28:AE28" si="21">(K$5-K$32)*K$6</f>
        <v>166.71369142857139</v>
      </c>
      <c r="L28" s="352">
        <f t="shared" si="21"/>
        <v>166.71369142857139</v>
      </c>
      <c r="M28" s="179">
        <f t="shared" si="21"/>
        <v>225.16592000000006</v>
      </c>
      <c r="N28" s="179">
        <f t="shared" si="21"/>
        <v>225.16591999999989</v>
      </c>
      <c r="O28" s="192">
        <f t="shared" si="21"/>
        <v>225.16592000000003</v>
      </c>
      <c r="P28" s="351">
        <f t="shared" si="21"/>
        <v>225.16591999999989</v>
      </c>
      <c r="Q28" s="352">
        <f t="shared" si="21"/>
        <v>256.58497959183677</v>
      </c>
      <c r="R28" s="179">
        <f t="shared" si="21"/>
        <v>256.58497959183677</v>
      </c>
      <c r="S28" s="179">
        <f t="shared" si="21"/>
        <v>256.58497959183677</v>
      </c>
      <c r="T28" s="192">
        <f t="shared" si="21"/>
        <v>256.58497959183677</v>
      </c>
      <c r="U28" s="351">
        <f t="shared" si="21"/>
        <v>256.58497959183677</v>
      </c>
      <c r="V28" s="352">
        <f t="shared" si="21"/>
        <v>256.58497959183677</v>
      </c>
      <c r="W28" s="179">
        <f t="shared" si="21"/>
        <v>256.58497959183677</v>
      </c>
      <c r="X28" s="179">
        <f t="shared" si="21"/>
        <v>238.97333333333347</v>
      </c>
      <c r="Y28" s="192">
        <f t="shared" si="21"/>
        <v>238.97333333333336</v>
      </c>
      <c r="Z28" s="351">
        <f t="shared" si="21"/>
        <v>238.97333333333336</v>
      </c>
      <c r="AA28" s="352">
        <f t="shared" si="21"/>
        <v>238.97333333333336</v>
      </c>
      <c r="AB28" s="179">
        <f t="shared" si="21"/>
        <v>238.97333333333336</v>
      </c>
      <c r="AC28" s="179">
        <f t="shared" si="21"/>
        <v>238.97333333333336</v>
      </c>
      <c r="AD28" s="192">
        <f t="shared" si="21"/>
        <v>252.10770666666664</v>
      </c>
      <c r="AE28" s="351">
        <f t="shared" si="21"/>
        <v>252.10770666666664</v>
      </c>
      <c r="AF28"/>
      <c r="AG28"/>
      <c r="AH28"/>
      <c r="AI28"/>
      <c r="AJ28"/>
      <c r="AK28"/>
      <c r="AL28"/>
      <c r="AM28"/>
      <c r="AN28"/>
      <c r="AO28"/>
      <c r="AP28"/>
    </row>
    <row r="29" spans="1:42" s="83" customFormat="1" ht="12.75" customHeight="1" thickBot="1">
      <c r="B29" s="95" t="s">
        <v>129</v>
      </c>
      <c r="C29" s="179"/>
      <c r="D29" s="195">
        <f t="shared" ref="D29:AE29" si="22">+SUM(D25:D28)</f>
        <v>296.87000000000012</v>
      </c>
      <c r="E29" s="195">
        <f t="shared" si="22"/>
        <v>43.030000000000044</v>
      </c>
      <c r="F29" s="195">
        <f t="shared" si="22"/>
        <v>189.63000000000011</v>
      </c>
      <c r="G29" s="195">
        <f t="shared" si="22"/>
        <v>98.860433333333276</v>
      </c>
      <c r="H29" s="195">
        <f t="shared" si="22"/>
        <v>140.19243333333338</v>
      </c>
      <c r="I29" s="195">
        <f t="shared" si="22"/>
        <v>107.70355333333333</v>
      </c>
      <c r="J29" s="205">
        <f t="shared" si="22"/>
        <v>107.70355333333328</v>
      </c>
      <c r="K29" s="378">
        <f t="shared" si="22"/>
        <v>108.3236247619048</v>
      </c>
      <c r="L29" s="379">
        <f t="shared" si="22"/>
        <v>108.3236247619048</v>
      </c>
      <c r="M29" s="195">
        <f t="shared" si="22"/>
        <v>95.816519999999997</v>
      </c>
      <c r="N29" s="195">
        <f t="shared" si="22"/>
        <v>95.816520000000054</v>
      </c>
      <c r="O29" s="205">
        <f t="shared" si="22"/>
        <v>95.816519999999969</v>
      </c>
      <c r="P29" s="378">
        <f t="shared" si="22"/>
        <v>95.816520000000054</v>
      </c>
      <c r="Q29" s="379">
        <f t="shared" si="22"/>
        <v>93.13355102040822</v>
      </c>
      <c r="R29" s="195">
        <f t="shared" si="22"/>
        <v>93.13355102040822</v>
      </c>
      <c r="S29" s="195">
        <f t="shared" si="22"/>
        <v>93.13355102040822</v>
      </c>
      <c r="T29" s="205">
        <f t="shared" si="22"/>
        <v>93.133551020408163</v>
      </c>
      <c r="U29" s="378">
        <f t="shared" si="22"/>
        <v>93.133551020408163</v>
      </c>
      <c r="V29" s="379">
        <f t="shared" si="22"/>
        <v>93.133551020408163</v>
      </c>
      <c r="W29" s="195">
        <f t="shared" si="22"/>
        <v>93.133551020408163</v>
      </c>
      <c r="X29" s="195">
        <f t="shared" si="22"/>
        <v>80.60666666666657</v>
      </c>
      <c r="Y29" s="205">
        <f t="shared" si="22"/>
        <v>80.606666666666683</v>
      </c>
      <c r="Z29" s="378">
        <f t="shared" si="22"/>
        <v>80.606666666666683</v>
      </c>
      <c r="AA29" s="379">
        <f t="shared" si="22"/>
        <v>80.606666666666683</v>
      </c>
      <c r="AB29" s="195">
        <f t="shared" si="22"/>
        <v>80.606666666666683</v>
      </c>
      <c r="AC29" s="195">
        <f t="shared" si="22"/>
        <v>80.606666666666683</v>
      </c>
      <c r="AD29" s="205">
        <f t="shared" si="22"/>
        <v>98.849000000000018</v>
      </c>
      <c r="AE29" s="378">
        <f t="shared" si="22"/>
        <v>98.849000000000018</v>
      </c>
      <c r="AF29"/>
      <c r="AG29"/>
      <c r="AH29"/>
      <c r="AI29"/>
      <c r="AJ29"/>
      <c r="AK29"/>
      <c r="AL29"/>
      <c r="AM29"/>
      <c r="AN29"/>
      <c r="AO29"/>
      <c r="AP29"/>
    </row>
    <row r="30" spans="1:42" s="96" customFormat="1" ht="12.75" customHeight="1" thickBot="1">
      <c r="B30" s="97" t="s">
        <v>82</v>
      </c>
      <c r="C30" s="198">
        <v>2530</v>
      </c>
      <c r="D30" s="198">
        <f>+SUM(D21:D24)</f>
        <v>2664.1</v>
      </c>
      <c r="E30" s="199">
        <f>+SUM(E21:E24)</f>
        <v>2960.9700000000003</v>
      </c>
      <c r="F30" s="199">
        <f t="shared" ref="F30:Z30" si="23">+SUM(F21:F24)</f>
        <v>3004</v>
      </c>
      <c r="G30" s="199">
        <f t="shared" si="23"/>
        <v>3193.6300000000006</v>
      </c>
      <c r="H30" s="199">
        <f t="shared" si="23"/>
        <v>3292.4904333333338</v>
      </c>
      <c r="I30" s="199">
        <f t="shared" si="23"/>
        <v>3432.682866666667</v>
      </c>
      <c r="J30" s="200">
        <f t="shared" si="23"/>
        <v>3540.3864199999998</v>
      </c>
      <c r="K30" s="372">
        <f t="shared" si="23"/>
        <v>3648.0899733333335</v>
      </c>
      <c r="L30" s="373">
        <f t="shared" si="23"/>
        <v>3756.4135980952383</v>
      </c>
      <c r="M30" s="199">
        <f t="shared" si="23"/>
        <v>3864.7372228571426</v>
      </c>
      <c r="N30" s="199">
        <f t="shared" si="23"/>
        <v>3960.5537428571424</v>
      </c>
      <c r="O30" s="200">
        <f t="shared" si="23"/>
        <v>4056.3702628571427</v>
      </c>
      <c r="P30" s="372">
        <f t="shared" si="23"/>
        <v>4152.186782857143</v>
      </c>
      <c r="Q30" s="373">
        <f t="shared" si="23"/>
        <v>4248.0033028571434</v>
      </c>
      <c r="R30" s="199">
        <f t="shared" si="23"/>
        <v>4341.1368538775514</v>
      </c>
      <c r="S30" s="199">
        <f t="shared" si="23"/>
        <v>4434.2704048979595</v>
      </c>
      <c r="T30" s="200">
        <f t="shared" si="23"/>
        <v>4527.4039559183675</v>
      </c>
      <c r="U30" s="372">
        <f t="shared" si="23"/>
        <v>4620.5375069387756</v>
      </c>
      <c r="V30" s="373">
        <f t="shared" si="23"/>
        <v>4713.6710579591836</v>
      </c>
      <c r="W30" s="199">
        <f t="shared" si="23"/>
        <v>4806.8046089795916</v>
      </c>
      <c r="X30" s="199">
        <f t="shared" si="23"/>
        <v>4899.9381599999997</v>
      </c>
      <c r="Y30" s="200">
        <f t="shared" si="23"/>
        <v>4980.5448266666663</v>
      </c>
      <c r="Z30" s="372">
        <f t="shared" si="23"/>
        <v>5061.1514933333328</v>
      </c>
      <c r="AA30" s="373">
        <f>+SUM(AA21:AA24)</f>
        <v>5141.7581599999994</v>
      </c>
      <c r="AB30" s="199">
        <f t="shared" ref="AB30:AE30" si="24">+SUM(AB21:AB24)</f>
        <v>5222.364826666666</v>
      </c>
      <c r="AC30" s="199">
        <f t="shared" si="24"/>
        <v>5302.9714933333335</v>
      </c>
      <c r="AD30" s="200">
        <f t="shared" si="24"/>
        <v>5383.57816</v>
      </c>
      <c r="AE30" s="372">
        <f t="shared" si="24"/>
        <v>5482.4271600000002</v>
      </c>
      <c r="AF30"/>
      <c r="AG30"/>
      <c r="AH30"/>
      <c r="AI30"/>
      <c r="AJ30"/>
      <c r="AK30"/>
      <c r="AL30"/>
      <c r="AM30"/>
      <c r="AN30"/>
      <c r="AO30"/>
      <c r="AP30"/>
    </row>
    <row r="31" spans="1:42" s="96" customFormat="1" ht="12.75" customHeight="1">
      <c r="B31" s="39"/>
      <c r="C31" s="206"/>
      <c r="D31" s="206"/>
      <c r="E31" s="206"/>
      <c r="F31" s="206"/>
      <c r="G31" s="206"/>
      <c r="H31" s="206"/>
      <c r="I31" s="206"/>
      <c r="J31" s="207"/>
      <c r="K31" s="380"/>
      <c r="L31" s="381"/>
      <c r="M31" s="206"/>
      <c r="N31" s="206"/>
      <c r="O31" s="207"/>
      <c r="P31" s="380"/>
      <c r="Q31" s="381"/>
      <c r="R31" s="206"/>
      <c r="S31" s="206"/>
      <c r="T31" s="207"/>
      <c r="U31" s="380"/>
      <c r="V31" s="381"/>
      <c r="W31" s="206"/>
      <c r="X31" s="206"/>
      <c r="Y31" s="207"/>
      <c r="Z31" s="380"/>
      <c r="AA31" s="381"/>
      <c r="AB31" s="206"/>
      <c r="AC31" s="206"/>
      <c r="AD31" s="207"/>
      <c r="AE31" s="380"/>
      <c r="AF31"/>
      <c r="AG31"/>
      <c r="AH31"/>
      <c r="AI31"/>
      <c r="AJ31"/>
      <c r="AK31"/>
      <c r="AL31"/>
      <c r="AM31"/>
      <c r="AN31"/>
      <c r="AO31"/>
      <c r="AP31"/>
    </row>
    <row r="32" spans="1:42" s="96" customFormat="1" ht="12.75" customHeight="1">
      <c r="B32" s="93" t="s">
        <v>170</v>
      </c>
      <c r="C32" s="206"/>
      <c r="D32" s="185"/>
      <c r="E32" s="181">
        <f>E13+E14+E25+E26</f>
        <v>-39.419999999999959</v>
      </c>
      <c r="F32" s="181">
        <f t="shared" ref="F32:AC32" si="25">F13+F14+F25+F26</f>
        <v>-38.899999999999977</v>
      </c>
      <c r="G32" s="181">
        <f t="shared" si="25"/>
        <v>-67.650900000000036</v>
      </c>
      <c r="H32" s="181">
        <f t="shared" si="25"/>
        <v>-65.638899999999978</v>
      </c>
      <c r="I32" s="181">
        <f t="shared" si="25"/>
        <v>-65.638899999999921</v>
      </c>
      <c r="J32" s="193">
        <f t="shared" si="25"/>
        <v>-65.638900000000149</v>
      </c>
      <c r="K32" s="369">
        <f t="shared" si="25"/>
        <v>-83.392114285714229</v>
      </c>
      <c r="L32" s="350">
        <f t="shared" si="25"/>
        <v>-83.392114285714229</v>
      </c>
      <c r="M32" s="181">
        <f t="shared" si="25"/>
        <v>-156.45740000000006</v>
      </c>
      <c r="N32" s="181">
        <f t="shared" si="25"/>
        <v>-156.45739999999984</v>
      </c>
      <c r="O32" s="193">
        <f t="shared" si="25"/>
        <v>-156.45740000000001</v>
      </c>
      <c r="P32" s="369">
        <f t="shared" si="25"/>
        <v>-156.45739999999984</v>
      </c>
      <c r="Q32" s="350">
        <f t="shared" si="25"/>
        <v>-195.73122448979592</v>
      </c>
      <c r="R32" s="181">
        <f t="shared" si="25"/>
        <v>-195.73122448979592</v>
      </c>
      <c r="S32" s="181">
        <f t="shared" si="25"/>
        <v>-195.73122448979592</v>
      </c>
      <c r="T32" s="193">
        <f t="shared" si="25"/>
        <v>-195.73122448979598</v>
      </c>
      <c r="U32" s="369">
        <f t="shared" si="25"/>
        <v>-195.73122448979598</v>
      </c>
      <c r="V32" s="350">
        <f t="shared" si="25"/>
        <v>-195.73122448979598</v>
      </c>
      <c r="W32" s="181">
        <f t="shared" si="25"/>
        <v>-195.73122448979598</v>
      </c>
      <c r="X32" s="181">
        <f t="shared" si="25"/>
        <v>-173.71666666666684</v>
      </c>
      <c r="Y32" s="193">
        <f t="shared" si="25"/>
        <v>-173.71666666666667</v>
      </c>
      <c r="Z32" s="369">
        <f t="shared" si="25"/>
        <v>-173.71666666666667</v>
      </c>
      <c r="AA32" s="350">
        <f t="shared" si="25"/>
        <v>-173.71666666666667</v>
      </c>
      <c r="AB32" s="181">
        <f t="shared" si="25"/>
        <v>-173.71666666666667</v>
      </c>
      <c r="AC32" s="181">
        <f t="shared" si="25"/>
        <v>-173.71666666666667</v>
      </c>
      <c r="AD32" s="208">
        <f t="shared" ref="AD32:AE32" si="26">AD13+AD14+AD15+AD25+AD26+AD27</f>
        <v>-190.13463333333328</v>
      </c>
      <c r="AE32" s="382">
        <f t="shared" si="26"/>
        <v>-190.13463333333328</v>
      </c>
      <c r="AF32"/>
      <c r="AG32"/>
      <c r="AH32"/>
      <c r="AI32"/>
      <c r="AJ32"/>
      <c r="AK32"/>
      <c r="AL32"/>
      <c r="AM32"/>
      <c r="AN32"/>
      <c r="AO32"/>
      <c r="AP32"/>
    </row>
    <row r="33" spans="2:42" s="96" customFormat="1" ht="12.75" customHeight="1">
      <c r="B33" s="93" t="s">
        <v>171</v>
      </c>
      <c r="C33" s="206"/>
      <c r="D33" s="185"/>
      <c r="E33" s="181">
        <f>E15+E16+E27+E28</f>
        <v>106.27000000000001</v>
      </c>
      <c r="F33" s="181">
        <f t="shared" ref="F33:AC33" si="27">F15+F16+F27+F28</f>
        <v>233.26000000000005</v>
      </c>
      <c r="G33" s="181">
        <f t="shared" si="27"/>
        <v>210</v>
      </c>
      <c r="H33" s="181">
        <f t="shared" si="27"/>
        <v>210</v>
      </c>
      <c r="I33" s="181">
        <f t="shared" si="27"/>
        <v>190.63889999999992</v>
      </c>
      <c r="J33" s="193">
        <f t="shared" si="27"/>
        <v>190.63890000000015</v>
      </c>
      <c r="K33" s="369">
        <f t="shared" si="27"/>
        <v>208.39211428571423</v>
      </c>
      <c r="L33" s="350">
        <f t="shared" si="27"/>
        <v>208.39211428571423</v>
      </c>
      <c r="M33" s="181">
        <f t="shared" si="27"/>
        <v>281.45740000000006</v>
      </c>
      <c r="N33" s="181">
        <f t="shared" si="27"/>
        <v>281.45739999999984</v>
      </c>
      <c r="O33" s="193">
        <f t="shared" si="27"/>
        <v>281.45740000000001</v>
      </c>
      <c r="P33" s="369">
        <f t="shared" si="27"/>
        <v>281.45739999999984</v>
      </c>
      <c r="Q33" s="350">
        <f t="shared" si="27"/>
        <v>320.73122448979592</v>
      </c>
      <c r="R33" s="181">
        <f t="shared" si="27"/>
        <v>320.73122448979592</v>
      </c>
      <c r="S33" s="181">
        <f t="shared" si="27"/>
        <v>320.73122448979592</v>
      </c>
      <c r="T33" s="193">
        <f t="shared" si="27"/>
        <v>320.73122448979598</v>
      </c>
      <c r="U33" s="369">
        <f t="shared" si="27"/>
        <v>320.73122448979598</v>
      </c>
      <c r="V33" s="350">
        <f t="shared" si="27"/>
        <v>320.73122448979598</v>
      </c>
      <c r="W33" s="181">
        <f t="shared" si="27"/>
        <v>320.73122448979598</v>
      </c>
      <c r="X33" s="181">
        <f t="shared" si="27"/>
        <v>298.71666666666681</v>
      </c>
      <c r="Y33" s="193">
        <f t="shared" si="27"/>
        <v>298.7166666666667</v>
      </c>
      <c r="Z33" s="369">
        <f t="shared" si="27"/>
        <v>298.7166666666667</v>
      </c>
      <c r="AA33" s="350">
        <f t="shared" si="27"/>
        <v>298.7166666666667</v>
      </c>
      <c r="AB33" s="181">
        <f t="shared" si="27"/>
        <v>298.7166666666667</v>
      </c>
      <c r="AC33" s="181">
        <f t="shared" si="27"/>
        <v>298.7166666666667</v>
      </c>
      <c r="AD33" s="208">
        <f t="shared" ref="AD33:AE33" si="28">AD16+AD28</f>
        <v>315.13463333333328</v>
      </c>
      <c r="AE33" s="382">
        <f t="shared" si="28"/>
        <v>315.13463333333328</v>
      </c>
      <c r="AF33"/>
      <c r="AG33"/>
      <c r="AH33"/>
      <c r="AI33"/>
      <c r="AJ33"/>
      <c r="AK33"/>
      <c r="AL33"/>
      <c r="AM33"/>
      <c r="AN33"/>
      <c r="AO33"/>
      <c r="AP33"/>
    </row>
    <row r="34" spans="2:42" s="83" customFormat="1" ht="12.75" customHeight="1" thickBot="1">
      <c r="B34" s="39" t="s">
        <v>172</v>
      </c>
      <c r="C34" s="179"/>
      <c r="D34" s="179">
        <f>D32+D33</f>
        <v>0</v>
      </c>
      <c r="E34" s="179">
        <f t="shared" ref="E34:AE34" si="29">E32+E33</f>
        <v>66.850000000000051</v>
      </c>
      <c r="F34" s="179">
        <f t="shared" si="29"/>
        <v>194.36000000000007</v>
      </c>
      <c r="G34" s="179">
        <f t="shared" si="29"/>
        <v>142.34909999999996</v>
      </c>
      <c r="H34" s="179">
        <f t="shared" si="29"/>
        <v>144.36110000000002</v>
      </c>
      <c r="I34" s="179">
        <f t="shared" si="29"/>
        <v>125</v>
      </c>
      <c r="J34" s="192">
        <f t="shared" si="29"/>
        <v>125</v>
      </c>
      <c r="K34" s="351">
        <f t="shared" si="29"/>
        <v>125</v>
      </c>
      <c r="L34" s="352">
        <f t="shared" si="29"/>
        <v>125</v>
      </c>
      <c r="M34" s="179">
        <f t="shared" si="29"/>
        <v>125</v>
      </c>
      <c r="N34" s="179">
        <f t="shared" si="29"/>
        <v>125</v>
      </c>
      <c r="O34" s="192">
        <f t="shared" si="29"/>
        <v>125</v>
      </c>
      <c r="P34" s="351">
        <f t="shared" si="29"/>
        <v>125</v>
      </c>
      <c r="Q34" s="352">
        <f t="shared" si="29"/>
        <v>125</v>
      </c>
      <c r="R34" s="179">
        <f t="shared" si="29"/>
        <v>125</v>
      </c>
      <c r="S34" s="179">
        <f t="shared" si="29"/>
        <v>125</v>
      </c>
      <c r="T34" s="192">
        <f t="shared" si="29"/>
        <v>125</v>
      </c>
      <c r="U34" s="351">
        <f t="shared" si="29"/>
        <v>125</v>
      </c>
      <c r="V34" s="352">
        <f t="shared" si="29"/>
        <v>125</v>
      </c>
      <c r="W34" s="179">
        <f t="shared" si="29"/>
        <v>125</v>
      </c>
      <c r="X34" s="179">
        <f t="shared" si="29"/>
        <v>124.99999999999997</v>
      </c>
      <c r="Y34" s="192">
        <f t="shared" si="29"/>
        <v>125.00000000000003</v>
      </c>
      <c r="Z34" s="351">
        <f t="shared" si="29"/>
        <v>125.00000000000003</v>
      </c>
      <c r="AA34" s="352">
        <f t="shared" si="29"/>
        <v>125.00000000000003</v>
      </c>
      <c r="AB34" s="179">
        <f t="shared" si="29"/>
        <v>125.00000000000003</v>
      </c>
      <c r="AC34" s="179">
        <f t="shared" si="29"/>
        <v>125.00000000000003</v>
      </c>
      <c r="AD34" s="192">
        <f t="shared" si="29"/>
        <v>125</v>
      </c>
      <c r="AE34" s="351">
        <f t="shared" si="29"/>
        <v>125</v>
      </c>
      <c r="AF34"/>
      <c r="AG34"/>
      <c r="AH34"/>
      <c r="AI34"/>
      <c r="AJ34"/>
      <c r="AK34"/>
      <c r="AL34"/>
      <c r="AM34"/>
      <c r="AN34"/>
      <c r="AO34"/>
      <c r="AP34"/>
    </row>
    <row r="35" spans="2:42" s="96" customFormat="1" ht="12.75" customHeight="1" thickBot="1">
      <c r="B35" s="97" t="s">
        <v>173</v>
      </c>
      <c r="C35" s="198"/>
      <c r="D35" s="198">
        <f t="shared" ref="D35:Z35" si="30">SUM(D21:D24)+SUM(D9:D12)</f>
        <v>3240.8999999999996</v>
      </c>
      <c r="E35" s="199">
        <f>SUM(E21:E24)+SUM(E9:E12)</f>
        <v>3547.92</v>
      </c>
      <c r="F35" s="199">
        <f t="shared" si="30"/>
        <v>3614.77</v>
      </c>
      <c r="G35" s="199">
        <f t="shared" si="30"/>
        <v>3809.1300000000006</v>
      </c>
      <c r="H35" s="199">
        <f t="shared" si="30"/>
        <v>3951.4791000000005</v>
      </c>
      <c r="I35" s="199">
        <f t="shared" si="30"/>
        <v>4095.8402000000006</v>
      </c>
      <c r="J35" s="200">
        <f t="shared" si="30"/>
        <v>4220.8401999999996</v>
      </c>
      <c r="K35" s="372">
        <f t="shared" si="30"/>
        <v>4345.8402000000006</v>
      </c>
      <c r="L35" s="373">
        <f t="shared" si="30"/>
        <v>4470.8402000000006</v>
      </c>
      <c r="M35" s="199">
        <f t="shared" si="30"/>
        <v>4595.8401999999996</v>
      </c>
      <c r="N35" s="199">
        <f t="shared" si="30"/>
        <v>4720.8401999999996</v>
      </c>
      <c r="O35" s="200">
        <f t="shared" si="30"/>
        <v>4845.8401999999996</v>
      </c>
      <c r="P35" s="372">
        <f t="shared" si="30"/>
        <v>4970.8402000000006</v>
      </c>
      <c r="Q35" s="373">
        <f t="shared" si="30"/>
        <v>5095.8402000000006</v>
      </c>
      <c r="R35" s="199">
        <f t="shared" si="30"/>
        <v>5220.8402000000006</v>
      </c>
      <c r="S35" s="199">
        <f t="shared" si="30"/>
        <v>5345.8402000000006</v>
      </c>
      <c r="T35" s="200">
        <f t="shared" si="30"/>
        <v>5470.8401999999996</v>
      </c>
      <c r="U35" s="372">
        <f t="shared" si="30"/>
        <v>5595.8401999999996</v>
      </c>
      <c r="V35" s="373">
        <f t="shared" si="30"/>
        <v>5720.8401999999996</v>
      </c>
      <c r="W35" s="199">
        <f t="shared" si="30"/>
        <v>5845.8401999999996</v>
      </c>
      <c r="X35" s="199">
        <f t="shared" si="30"/>
        <v>5970.8401999999987</v>
      </c>
      <c r="Y35" s="200">
        <f t="shared" si="30"/>
        <v>6095.8401999999987</v>
      </c>
      <c r="Z35" s="372">
        <f t="shared" si="30"/>
        <v>6220.8401999999987</v>
      </c>
      <c r="AA35" s="373">
        <f>SUM(AA21:AA24)+SUM(AA9:AA12)</f>
        <v>6345.8401999999987</v>
      </c>
      <c r="AB35" s="199">
        <f t="shared" ref="AB35:AE35" si="31">SUM(AB21:AB24)+SUM(AB9:AB12)</f>
        <v>6470.8401999999987</v>
      </c>
      <c r="AC35" s="199">
        <f t="shared" si="31"/>
        <v>6595.8401999999996</v>
      </c>
      <c r="AD35" s="200">
        <f t="shared" si="31"/>
        <v>6720.8401999999996</v>
      </c>
      <c r="AE35" s="372">
        <f t="shared" si="31"/>
        <v>6845.8401999999996</v>
      </c>
      <c r="AF35"/>
      <c r="AG35"/>
      <c r="AH35"/>
      <c r="AI35"/>
      <c r="AJ35"/>
      <c r="AK35"/>
      <c r="AL35"/>
      <c r="AM35"/>
      <c r="AN35"/>
      <c r="AO35"/>
      <c r="AP35"/>
    </row>
    <row r="36" spans="2:42" s="74" customFormat="1" ht="12.75" customHeight="1">
      <c r="B36" s="99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</row>
    <row r="37" spans="2:42" s="35" customFormat="1" ht="15.75">
      <c r="B37" s="43" t="s">
        <v>174</v>
      </c>
      <c r="C37" s="178"/>
      <c r="D37" s="178"/>
      <c r="E37"/>
      <c r="F37" s="178"/>
      <c r="G37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</row>
    <row r="38" spans="2:42" s="31" customFormat="1" ht="12.75" customHeight="1">
      <c r="B38" s="209" t="str">
        <f>+B4</f>
        <v>Primo år</v>
      </c>
      <c r="C38" s="170">
        <v>2012</v>
      </c>
      <c r="D38" s="170">
        <f t="shared" ref="D38:Z38" si="32">+D4</f>
        <v>2013</v>
      </c>
      <c r="E38" s="170">
        <f t="shared" si="32"/>
        <v>2014</v>
      </c>
      <c r="F38" s="170">
        <f t="shared" si="32"/>
        <v>2015</v>
      </c>
      <c r="G38" s="170">
        <f t="shared" si="32"/>
        <v>2016</v>
      </c>
      <c r="H38" s="170">
        <f t="shared" si="32"/>
        <v>2017</v>
      </c>
      <c r="I38" s="170">
        <f t="shared" si="32"/>
        <v>2018</v>
      </c>
      <c r="J38" s="238">
        <f t="shared" si="32"/>
        <v>2019</v>
      </c>
      <c r="K38" s="383">
        <f t="shared" si="32"/>
        <v>2020</v>
      </c>
      <c r="L38" s="384">
        <f t="shared" si="32"/>
        <v>2021</v>
      </c>
      <c r="M38" s="170">
        <f t="shared" si="32"/>
        <v>2022</v>
      </c>
      <c r="N38" s="170">
        <f t="shared" si="32"/>
        <v>2023</v>
      </c>
      <c r="O38" s="238">
        <f t="shared" si="32"/>
        <v>2024</v>
      </c>
      <c r="P38" s="383">
        <f t="shared" si="32"/>
        <v>2025</v>
      </c>
      <c r="Q38" s="384">
        <f t="shared" si="32"/>
        <v>2026</v>
      </c>
      <c r="R38" s="170">
        <f t="shared" si="32"/>
        <v>2027</v>
      </c>
      <c r="S38" s="170">
        <f t="shared" si="32"/>
        <v>2028</v>
      </c>
      <c r="T38" s="238">
        <f t="shared" si="32"/>
        <v>2029</v>
      </c>
      <c r="U38" s="383">
        <f t="shared" si="32"/>
        <v>2030</v>
      </c>
      <c r="V38" s="384">
        <f t="shared" si="32"/>
        <v>2031</v>
      </c>
      <c r="W38" s="170">
        <f t="shared" si="32"/>
        <v>2032</v>
      </c>
      <c r="X38" s="170">
        <f t="shared" si="32"/>
        <v>2033</v>
      </c>
      <c r="Y38" s="238">
        <f t="shared" si="32"/>
        <v>2034</v>
      </c>
      <c r="Z38" s="383">
        <f t="shared" si="32"/>
        <v>2035</v>
      </c>
      <c r="AA38" s="384">
        <v>2036</v>
      </c>
      <c r="AB38" s="170">
        <v>2037</v>
      </c>
      <c r="AC38" s="170">
        <v>2038</v>
      </c>
      <c r="AD38" s="238">
        <v>2039</v>
      </c>
      <c r="AE38" s="383">
        <v>2040</v>
      </c>
      <c r="AF38" s="32"/>
    </row>
    <row r="39" spans="2:42" s="96" customFormat="1" ht="12.75" customHeight="1">
      <c r="B39" s="91" t="s">
        <v>72</v>
      </c>
      <c r="C39" s="206"/>
      <c r="D39" s="206">
        <f t="shared" ref="D39:O39" si="33">SUM(D40:D46)</f>
        <v>55.750000000000007</v>
      </c>
      <c r="E39" s="206">
        <f t="shared" si="33"/>
        <v>55.750000000000007</v>
      </c>
      <c r="F39" s="206">
        <f t="shared" si="33"/>
        <v>55.750000000000007</v>
      </c>
      <c r="G39" s="206">
        <f t="shared" si="33"/>
        <v>55.750000000000007</v>
      </c>
      <c r="H39" s="206">
        <f t="shared" si="33"/>
        <v>50.800000000000004</v>
      </c>
      <c r="I39" s="206">
        <f t="shared" si="33"/>
        <v>50.800000000000004</v>
      </c>
      <c r="J39" s="207">
        <f t="shared" si="33"/>
        <v>50.800000000000004</v>
      </c>
      <c r="K39" s="380">
        <f t="shared" si="33"/>
        <v>236.8</v>
      </c>
      <c r="L39" s="381">
        <f t="shared" si="33"/>
        <v>261.8</v>
      </c>
      <c r="M39" s="206">
        <f t="shared" si="33"/>
        <v>261.8</v>
      </c>
      <c r="N39" s="206">
        <f t="shared" si="33"/>
        <v>261.8</v>
      </c>
      <c r="O39" s="207">
        <f t="shared" si="33"/>
        <v>261.8</v>
      </c>
      <c r="P39" s="380">
        <f>SUM(P40:P46)</f>
        <v>261.8</v>
      </c>
      <c r="Q39" s="381">
        <f t="shared" ref="Q39:AE39" si="34">SUM(Q40:Q46)</f>
        <v>221.8</v>
      </c>
      <c r="R39" s="206">
        <f t="shared" si="34"/>
        <v>221.8</v>
      </c>
      <c r="S39" s="206">
        <f t="shared" si="34"/>
        <v>221.8</v>
      </c>
      <c r="T39" s="207">
        <f t="shared" si="34"/>
        <v>221.8</v>
      </c>
      <c r="U39" s="380">
        <f t="shared" si="34"/>
        <v>221.8</v>
      </c>
      <c r="V39" s="381">
        <f t="shared" si="34"/>
        <v>221.8</v>
      </c>
      <c r="W39" s="206">
        <f t="shared" si="34"/>
        <v>221.8</v>
      </c>
      <c r="X39" s="206">
        <f t="shared" si="34"/>
        <v>221.8</v>
      </c>
      <c r="Y39" s="207">
        <f t="shared" si="34"/>
        <v>221.8</v>
      </c>
      <c r="Z39" s="380">
        <f t="shared" si="34"/>
        <v>214.6</v>
      </c>
      <c r="AA39" s="381">
        <f t="shared" si="34"/>
        <v>214.6</v>
      </c>
      <c r="AB39" s="206">
        <f t="shared" si="34"/>
        <v>211</v>
      </c>
      <c r="AC39" s="206">
        <f t="shared" si="34"/>
        <v>211</v>
      </c>
      <c r="AD39" s="207">
        <f t="shared" si="34"/>
        <v>211</v>
      </c>
      <c r="AE39" s="380">
        <f t="shared" si="34"/>
        <v>211</v>
      </c>
      <c r="AF39" s="74"/>
    </row>
    <row r="40" spans="2:42" s="83" customFormat="1" ht="12.75" customHeight="1">
      <c r="B40" s="100" t="s">
        <v>130</v>
      </c>
      <c r="C40" s="179"/>
      <c r="D40" s="210">
        <v>4.95</v>
      </c>
      <c r="E40" s="179">
        <f>D40</f>
        <v>4.95</v>
      </c>
      <c r="F40" s="179">
        <f t="shared" ref="F40:U46" si="35">E40</f>
        <v>4.95</v>
      </c>
      <c r="G40" s="179">
        <f t="shared" si="35"/>
        <v>4.95</v>
      </c>
      <c r="H40" s="179"/>
      <c r="I40" s="179"/>
      <c r="J40" s="192"/>
      <c r="K40" s="351"/>
      <c r="L40" s="352"/>
      <c r="M40" s="179"/>
      <c r="N40" s="179"/>
      <c r="O40" s="192"/>
      <c r="P40" s="351"/>
      <c r="Q40" s="352"/>
      <c r="R40" s="179"/>
      <c r="S40" s="179"/>
      <c r="T40" s="192"/>
      <c r="U40" s="351"/>
      <c r="V40" s="352"/>
      <c r="W40" s="179"/>
      <c r="X40" s="179"/>
      <c r="Y40" s="192"/>
      <c r="Z40" s="351"/>
      <c r="AA40" s="352"/>
      <c r="AB40" s="179"/>
      <c r="AC40" s="179"/>
      <c r="AD40" s="192"/>
      <c r="AE40" s="351"/>
      <c r="AF40" s="73"/>
    </row>
    <row r="41" spans="2:42" s="83" customFormat="1" ht="12.75" customHeight="1">
      <c r="B41" s="100" t="s">
        <v>131</v>
      </c>
      <c r="C41" s="179"/>
      <c r="D41" s="210">
        <v>40</v>
      </c>
      <c r="E41" s="179">
        <f>D41</f>
        <v>40</v>
      </c>
      <c r="F41" s="179">
        <f t="shared" si="35"/>
        <v>40</v>
      </c>
      <c r="G41" s="179">
        <f t="shared" si="35"/>
        <v>40</v>
      </c>
      <c r="H41" s="179">
        <f t="shared" si="35"/>
        <v>40</v>
      </c>
      <c r="I41" s="179">
        <f t="shared" si="35"/>
        <v>40</v>
      </c>
      <c r="J41" s="192">
        <f t="shared" si="35"/>
        <v>40</v>
      </c>
      <c r="K41" s="351">
        <f t="shared" si="35"/>
        <v>40</v>
      </c>
      <c r="L41" s="352">
        <f t="shared" si="35"/>
        <v>40</v>
      </c>
      <c r="M41" s="179">
        <f t="shared" si="35"/>
        <v>40</v>
      </c>
      <c r="N41" s="179">
        <f t="shared" si="35"/>
        <v>40</v>
      </c>
      <c r="O41" s="192">
        <f t="shared" si="35"/>
        <v>40</v>
      </c>
      <c r="P41" s="351">
        <f t="shared" si="35"/>
        <v>40</v>
      </c>
      <c r="Q41" s="352"/>
      <c r="R41" s="179"/>
      <c r="S41" s="179"/>
      <c r="T41" s="192"/>
      <c r="U41" s="351"/>
      <c r="V41" s="352"/>
      <c r="W41" s="179"/>
      <c r="X41" s="179"/>
      <c r="Y41" s="192"/>
      <c r="Z41" s="351"/>
      <c r="AA41" s="352"/>
      <c r="AB41" s="179"/>
      <c r="AC41" s="179"/>
      <c r="AD41" s="192"/>
      <c r="AE41" s="351"/>
      <c r="AF41" s="73"/>
    </row>
    <row r="42" spans="2:42" s="83" customFormat="1" ht="12.75" customHeight="1">
      <c r="B42" s="101" t="s">
        <v>132</v>
      </c>
      <c r="C42" s="179"/>
      <c r="D42" s="210">
        <v>7.2</v>
      </c>
      <c r="E42" s="179">
        <f>D42</f>
        <v>7.2</v>
      </c>
      <c r="F42" s="179">
        <f t="shared" si="35"/>
        <v>7.2</v>
      </c>
      <c r="G42" s="179">
        <f t="shared" si="35"/>
        <v>7.2</v>
      </c>
      <c r="H42" s="179">
        <f t="shared" si="35"/>
        <v>7.2</v>
      </c>
      <c r="I42" s="179">
        <f t="shared" si="35"/>
        <v>7.2</v>
      </c>
      <c r="J42" s="192">
        <f t="shared" si="35"/>
        <v>7.2</v>
      </c>
      <c r="K42" s="351">
        <f t="shared" si="35"/>
        <v>7.2</v>
      </c>
      <c r="L42" s="352">
        <f t="shared" si="35"/>
        <v>7.2</v>
      </c>
      <c r="M42" s="179">
        <f t="shared" si="35"/>
        <v>7.2</v>
      </c>
      <c r="N42" s="179">
        <f t="shared" si="35"/>
        <v>7.2</v>
      </c>
      <c r="O42" s="192">
        <f t="shared" si="35"/>
        <v>7.2</v>
      </c>
      <c r="P42" s="351">
        <f t="shared" si="35"/>
        <v>7.2</v>
      </c>
      <c r="Q42" s="352">
        <f t="shared" si="35"/>
        <v>7.2</v>
      </c>
      <c r="R42" s="179">
        <f t="shared" si="35"/>
        <v>7.2</v>
      </c>
      <c r="S42" s="179">
        <f t="shared" si="35"/>
        <v>7.2</v>
      </c>
      <c r="T42" s="192">
        <f t="shared" si="35"/>
        <v>7.2</v>
      </c>
      <c r="U42" s="351">
        <f t="shared" si="35"/>
        <v>7.2</v>
      </c>
      <c r="V42" s="352">
        <f t="shared" ref="V42:AE46" si="36">U42</f>
        <v>7.2</v>
      </c>
      <c r="W42" s="179">
        <f t="shared" si="36"/>
        <v>7.2</v>
      </c>
      <c r="X42" s="179">
        <f t="shared" si="36"/>
        <v>7.2</v>
      </c>
      <c r="Y42" s="192">
        <f t="shared" si="36"/>
        <v>7.2</v>
      </c>
      <c r="Z42" s="351"/>
      <c r="AA42" s="352"/>
      <c r="AB42" s="179"/>
      <c r="AC42" s="179"/>
      <c r="AD42" s="192"/>
      <c r="AE42" s="351"/>
      <c r="AF42" s="73"/>
    </row>
    <row r="43" spans="2:42" s="83" customFormat="1" ht="12.75" customHeight="1">
      <c r="B43" s="101" t="s">
        <v>133</v>
      </c>
      <c r="C43" s="179"/>
      <c r="D43" s="210">
        <v>3.6</v>
      </c>
      <c r="E43" s="179">
        <f>D43</f>
        <v>3.6</v>
      </c>
      <c r="F43" s="179">
        <f t="shared" si="35"/>
        <v>3.6</v>
      </c>
      <c r="G43" s="179">
        <f t="shared" si="35"/>
        <v>3.6</v>
      </c>
      <c r="H43" s="179">
        <f t="shared" si="35"/>
        <v>3.6</v>
      </c>
      <c r="I43" s="179">
        <f t="shared" si="35"/>
        <v>3.6</v>
      </c>
      <c r="J43" s="192">
        <f t="shared" si="35"/>
        <v>3.6</v>
      </c>
      <c r="K43" s="351">
        <f t="shared" si="35"/>
        <v>3.6</v>
      </c>
      <c r="L43" s="352">
        <f t="shared" si="35"/>
        <v>3.6</v>
      </c>
      <c r="M43" s="179">
        <f t="shared" si="35"/>
        <v>3.6</v>
      </c>
      <c r="N43" s="179">
        <f t="shared" si="35"/>
        <v>3.6</v>
      </c>
      <c r="O43" s="192">
        <f t="shared" si="35"/>
        <v>3.6</v>
      </c>
      <c r="P43" s="351">
        <f t="shared" si="35"/>
        <v>3.6</v>
      </c>
      <c r="Q43" s="352">
        <f t="shared" si="35"/>
        <v>3.6</v>
      </c>
      <c r="R43" s="179">
        <f t="shared" si="35"/>
        <v>3.6</v>
      </c>
      <c r="S43" s="179">
        <f t="shared" si="35"/>
        <v>3.6</v>
      </c>
      <c r="T43" s="192">
        <f t="shared" si="35"/>
        <v>3.6</v>
      </c>
      <c r="U43" s="351">
        <f t="shared" si="35"/>
        <v>3.6</v>
      </c>
      <c r="V43" s="352">
        <f t="shared" si="36"/>
        <v>3.6</v>
      </c>
      <c r="W43" s="179">
        <f t="shared" si="36"/>
        <v>3.6</v>
      </c>
      <c r="X43" s="179">
        <f t="shared" si="36"/>
        <v>3.6</v>
      </c>
      <c r="Y43" s="192">
        <f t="shared" si="36"/>
        <v>3.6</v>
      </c>
      <c r="Z43" s="351">
        <f t="shared" si="36"/>
        <v>3.6</v>
      </c>
      <c r="AA43" s="352">
        <f t="shared" si="36"/>
        <v>3.6</v>
      </c>
      <c r="AB43" s="179"/>
      <c r="AC43" s="179"/>
      <c r="AD43" s="192"/>
      <c r="AE43" s="351"/>
      <c r="AF43" s="73"/>
    </row>
    <row r="44" spans="2:42" s="83" customFormat="1" ht="12.75" customHeight="1">
      <c r="B44" s="92" t="s">
        <v>175</v>
      </c>
      <c r="C44" s="179"/>
      <c r="D44" s="179"/>
      <c r="E44" s="180"/>
      <c r="F44" s="180"/>
      <c r="G44" s="179"/>
      <c r="H44" s="180"/>
      <c r="I44" s="180"/>
      <c r="J44" s="348"/>
      <c r="K44" s="385">
        <v>175</v>
      </c>
      <c r="L44" s="352">
        <f>K44</f>
        <v>175</v>
      </c>
      <c r="M44" s="179">
        <f t="shared" si="35"/>
        <v>175</v>
      </c>
      <c r="N44" s="179">
        <f t="shared" si="35"/>
        <v>175</v>
      </c>
      <c r="O44" s="192">
        <f t="shared" si="35"/>
        <v>175</v>
      </c>
      <c r="P44" s="351">
        <f t="shared" si="35"/>
        <v>175</v>
      </c>
      <c r="Q44" s="352">
        <f t="shared" si="35"/>
        <v>175</v>
      </c>
      <c r="R44" s="179">
        <f t="shared" si="35"/>
        <v>175</v>
      </c>
      <c r="S44" s="179">
        <f t="shared" si="35"/>
        <v>175</v>
      </c>
      <c r="T44" s="192">
        <f t="shared" si="35"/>
        <v>175</v>
      </c>
      <c r="U44" s="351">
        <f t="shared" si="35"/>
        <v>175</v>
      </c>
      <c r="V44" s="352">
        <f t="shared" si="36"/>
        <v>175</v>
      </c>
      <c r="W44" s="179">
        <f t="shared" si="36"/>
        <v>175</v>
      </c>
      <c r="X44" s="179">
        <f t="shared" si="36"/>
        <v>175</v>
      </c>
      <c r="Y44" s="192">
        <f t="shared" si="36"/>
        <v>175</v>
      </c>
      <c r="Z44" s="351">
        <f t="shared" si="36"/>
        <v>175</v>
      </c>
      <c r="AA44" s="352">
        <f t="shared" si="36"/>
        <v>175</v>
      </c>
      <c r="AB44" s="179">
        <f t="shared" si="36"/>
        <v>175</v>
      </c>
      <c r="AC44" s="179">
        <f t="shared" si="36"/>
        <v>175</v>
      </c>
      <c r="AD44" s="192">
        <f t="shared" si="36"/>
        <v>175</v>
      </c>
      <c r="AE44" s="351">
        <f t="shared" si="36"/>
        <v>175</v>
      </c>
      <c r="AF44" s="73"/>
    </row>
    <row r="45" spans="2:42" s="83" customFormat="1" ht="12.75" customHeight="1">
      <c r="B45" s="629" t="s">
        <v>348</v>
      </c>
      <c r="C45" s="179"/>
      <c r="D45" s="179"/>
      <c r="E45" s="180"/>
      <c r="F45" s="180"/>
      <c r="G45" s="179"/>
      <c r="H45" s="180"/>
      <c r="I45" s="180"/>
      <c r="J45" s="348"/>
      <c r="K45" s="385">
        <v>11</v>
      </c>
      <c r="L45" s="352">
        <f>K45</f>
        <v>11</v>
      </c>
      <c r="M45" s="179">
        <f t="shared" si="35"/>
        <v>11</v>
      </c>
      <c r="N45" s="179">
        <f t="shared" si="35"/>
        <v>11</v>
      </c>
      <c r="O45" s="192">
        <f t="shared" si="35"/>
        <v>11</v>
      </c>
      <c r="P45" s="351">
        <f t="shared" si="35"/>
        <v>11</v>
      </c>
      <c r="Q45" s="352">
        <f>P45</f>
        <v>11</v>
      </c>
      <c r="R45" s="179">
        <f t="shared" ref="R45" si="37">Q45</f>
        <v>11</v>
      </c>
      <c r="S45" s="179">
        <f t="shared" si="35"/>
        <v>11</v>
      </c>
      <c r="T45" s="192">
        <f t="shared" ref="T45" si="38">S45</f>
        <v>11</v>
      </c>
      <c r="U45" s="351">
        <f t="shared" si="35"/>
        <v>11</v>
      </c>
      <c r="V45" s="352">
        <f t="shared" si="36"/>
        <v>11</v>
      </c>
      <c r="W45" s="179">
        <f t="shared" si="36"/>
        <v>11</v>
      </c>
      <c r="X45" s="179">
        <f t="shared" si="36"/>
        <v>11</v>
      </c>
      <c r="Y45" s="192">
        <f t="shared" si="36"/>
        <v>11</v>
      </c>
      <c r="Z45" s="351">
        <f t="shared" si="36"/>
        <v>11</v>
      </c>
      <c r="AA45" s="352">
        <f t="shared" si="36"/>
        <v>11</v>
      </c>
      <c r="AB45" s="179">
        <f t="shared" si="36"/>
        <v>11</v>
      </c>
      <c r="AC45" s="179">
        <f t="shared" si="36"/>
        <v>11</v>
      </c>
      <c r="AD45" s="192">
        <f t="shared" si="36"/>
        <v>11</v>
      </c>
      <c r="AE45" s="351">
        <f t="shared" si="36"/>
        <v>11</v>
      </c>
      <c r="AF45" s="73"/>
    </row>
    <row r="46" spans="2:42" s="89" customFormat="1" ht="12.75" customHeight="1">
      <c r="B46" s="92" t="s">
        <v>176</v>
      </c>
      <c r="C46" s="179"/>
      <c r="D46" s="179"/>
      <c r="E46" s="179"/>
      <c r="F46" s="179"/>
      <c r="G46" s="179"/>
      <c r="H46" s="179"/>
      <c r="I46" s="179"/>
      <c r="J46" s="386"/>
      <c r="K46" s="349"/>
      <c r="L46" s="387">
        <v>25</v>
      </c>
      <c r="M46" s="179">
        <f t="shared" si="35"/>
        <v>25</v>
      </c>
      <c r="N46" s="179">
        <f t="shared" si="35"/>
        <v>25</v>
      </c>
      <c r="O46" s="192">
        <f t="shared" si="35"/>
        <v>25</v>
      </c>
      <c r="P46" s="351">
        <f t="shared" si="35"/>
        <v>25</v>
      </c>
      <c r="Q46" s="352">
        <f t="shared" si="35"/>
        <v>25</v>
      </c>
      <c r="R46" s="179">
        <f t="shared" si="35"/>
        <v>25</v>
      </c>
      <c r="S46" s="179">
        <f t="shared" si="35"/>
        <v>25</v>
      </c>
      <c r="T46" s="192">
        <f t="shared" si="35"/>
        <v>25</v>
      </c>
      <c r="U46" s="351">
        <f t="shared" si="35"/>
        <v>25</v>
      </c>
      <c r="V46" s="352">
        <f t="shared" si="36"/>
        <v>25</v>
      </c>
      <c r="W46" s="179">
        <f t="shared" si="36"/>
        <v>25</v>
      </c>
      <c r="X46" s="179">
        <f t="shared" si="36"/>
        <v>25</v>
      </c>
      <c r="Y46" s="192">
        <f t="shared" si="36"/>
        <v>25</v>
      </c>
      <c r="Z46" s="351">
        <f t="shared" si="36"/>
        <v>25</v>
      </c>
      <c r="AA46" s="352">
        <f t="shared" si="36"/>
        <v>25</v>
      </c>
      <c r="AB46" s="179">
        <f t="shared" si="36"/>
        <v>25</v>
      </c>
      <c r="AC46" s="179">
        <f t="shared" si="36"/>
        <v>25</v>
      </c>
      <c r="AD46" s="192">
        <f t="shared" si="36"/>
        <v>25</v>
      </c>
      <c r="AE46" s="351">
        <f t="shared" si="36"/>
        <v>25</v>
      </c>
      <c r="AF46" s="47"/>
    </row>
    <row r="47" spans="2:42" s="96" customFormat="1" ht="12.75" customHeight="1">
      <c r="B47" s="91" t="s">
        <v>73</v>
      </c>
      <c r="C47" s="206"/>
      <c r="D47" s="206">
        <f t="shared" ref="D47:I47" si="39">SUM(D48:D55)</f>
        <v>73.8</v>
      </c>
      <c r="E47" s="206">
        <f t="shared" si="39"/>
        <v>73.8</v>
      </c>
      <c r="F47" s="206">
        <f t="shared" si="39"/>
        <v>73.8</v>
      </c>
      <c r="G47" s="206">
        <f t="shared" si="39"/>
        <v>73.8</v>
      </c>
      <c r="H47" s="206">
        <f t="shared" si="39"/>
        <v>73.8</v>
      </c>
      <c r="I47" s="206">
        <f t="shared" si="39"/>
        <v>73.8</v>
      </c>
      <c r="J47" s="207">
        <f>SUM(J48:J55)</f>
        <v>73.8</v>
      </c>
      <c r="K47" s="380">
        <f t="shared" ref="K47:AE47" si="40">SUM(K48:K55)</f>
        <v>287.8</v>
      </c>
      <c r="L47" s="381">
        <f t="shared" si="40"/>
        <v>307.8</v>
      </c>
      <c r="M47" s="206">
        <f t="shared" si="40"/>
        <v>307.8</v>
      </c>
      <c r="N47" s="206">
        <f t="shared" si="40"/>
        <v>307.8</v>
      </c>
      <c r="O47" s="207">
        <f t="shared" si="40"/>
        <v>307.8</v>
      </c>
      <c r="P47" s="380">
        <f t="shared" si="40"/>
        <v>307.8</v>
      </c>
      <c r="Q47" s="381">
        <f t="shared" si="40"/>
        <v>307.8</v>
      </c>
      <c r="R47" s="206">
        <f t="shared" si="40"/>
        <v>307.8</v>
      </c>
      <c r="S47" s="206">
        <f t="shared" si="40"/>
        <v>307.8</v>
      </c>
      <c r="T47" s="207">
        <f t="shared" si="40"/>
        <v>260</v>
      </c>
      <c r="U47" s="380">
        <f t="shared" si="40"/>
        <v>260</v>
      </c>
      <c r="V47" s="381">
        <f t="shared" si="40"/>
        <v>260</v>
      </c>
      <c r="W47" s="206">
        <f t="shared" si="40"/>
        <v>260</v>
      </c>
      <c r="X47" s="206">
        <f t="shared" si="40"/>
        <v>260</v>
      </c>
      <c r="Y47" s="207">
        <f t="shared" si="40"/>
        <v>260</v>
      </c>
      <c r="Z47" s="380">
        <f t="shared" si="40"/>
        <v>239</v>
      </c>
      <c r="AA47" s="381">
        <f t="shared" si="40"/>
        <v>239</v>
      </c>
      <c r="AB47" s="206">
        <f t="shared" si="40"/>
        <v>239</v>
      </c>
      <c r="AC47" s="206">
        <f t="shared" si="40"/>
        <v>239</v>
      </c>
      <c r="AD47" s="207">
        <f t="shared" si="40"/>
        <v>239</v>
      </c>
      <c r="AE47" s="380">
        <f t="shared" si="40"/>
        <v>239</v>
      </c>
      <c r="AF47" s="74"/>
    </row>
    <row r="48" spans="2:42" s="83" customFormat="1" ht="12.75" customHeight="1">
      <c r="B48" s="100" t="s">
        <v>134</v>
      </c>
      <c r="C48" s="179"/>
      <c r="D48" s="210">
        <v>5</v>
      </c>
      <c r="E48" s="179">
        <f t="shared" ref="E48:T55" si="41">D48</f>
        <v>5</v>
      </c>
      <c r="F48" s="179">
        <f t="shared" si="41"/>
        <v>5</v>
      </c>
      <c r="G48" s="179">
        <f t="shared" si="41"/>
        <v>5</v>
      </c>
      <c r="H48" s="179">
        <f t="shared" si="41"/>
        <v>5</v>
      </c>
      <c r="I48" s="179">
        <f t="shared" si="41"/>
        <v>5</v>
      </c>
      <c r="J48" s="192">
        <f t="shared" si="41"/>
        <v>5</v>
      </c>
      <c r="K48" s="351">
        <f t="shared" si="41"/>
        <v>5</v>
      </c>
      <c r="L48" s="352"/>
      <c r="M48" s="179"/>
      <c r="N48" s="179"/>
      <c r="O48" s="192"/>
      <c r="P48" s="351"/>
      <c r="Q48" s="352"/>
      <c r="R48" s="179"/>
      <c r="S48" s="179"/>
      <c r="T48" s="192"/>
      <c r="U48" s="351"/>
      <c r="V48" s="352"/>
      <c r="W48" s="179"/>
      <c r="X48" s="179"/>
      <c r="Y48" s="192"/>
      <c r="Z48" s="351"/>
      <c r="AA48" s="352"/>
      <c r="AB48" s="179"/>
      <c r="AC48" s="179"/>
      <c r="AD48" s="192"/>
      <c r="AE48" s="351"/>
      <c r="AF48" s="73"/>
    </row>
    <row r="49" spans="2:32" s="83" customFormat="1" ht="12.75" customHeight="1">
      <c r="B49" s="100" t="s">
        <v>135</v>
      </c>
      <c r="C49" s="179"/>
      <c r="D49" s="210">
        <v>17.199999999999996</v>
      </c>
      <c r="E49" s="179">
        <f t="shared" si="41"/>
        <v>17.199999999999996</v>
      </c>
      <c r="F49" s="179">
        <f t="shared" si="41"/>
        <v>17.199999999999996</v>
      </c>
      <c r="G49" s="179">
        <f t="shared" si="41"/>
        <v>17.199999999999996</v>
      </c>
      <c r="H49" s="179">
        <f t="shared" si="41"/>
        <v>17.199999999999996</v>
      </c>
      <c r="I49" s="179">
        <f t="shared" si="41"/>
        <v>17.199999999999996</v>
      </c>
      <c r="J49" s="192">
        <f t="shared" si="41"/>
        <v>17.199999999999996</v>
      </c>
      <c r="K49" s="351">
        <f t="shared" si="41"/>
        <v>17.199999999999996</v>
      </c>
      <c r="L49" s="352">
        <f t="shared" si="41"/>
        <v>17.199999999999996</v>
      </c>
      <c r="M49" s="179">
        <f t="shared" si="41"/>
        <v>17.199999999999996</v>
      </c>
      <c r="N49" s="179">
        <f t="shared" si="41"/>
        <v>17.199999999999996</v>
      </c>
      <c r="O49" s="192">
        <f t="shared" si="41"/>
        <v>17.199999999999996</v>
      </c>
      <c r="P49" s="351">
        <f t="shared" si="41"/>
        <v>17.199999999999996</v>
      </c>
      <c r="Q49" s="352">
        <f t="shared" si="41"/>
        <v>17.199999999999996</v>
      </c>
      <c r="R49" s="179">
        <f t="shared" si="41"/>
        <v>17.199999999999996</v>
      </c>
      <c r="S49" s="179">
        <f t="shared" si="41"/>
        <v>17.199999999999996</v>
      </c>
      <c r="T49" s="192"/>
      <c r="U49" s="351"/>
      <c r="V49" s="352"/>
      <c r="W49" s="179"/>
      <c r="X49" s="179"/>
      <c r="Y49" s="192"/>
      <c r="Z49" s="351"/>
      <c r="AA49" s="352"/>
      <c r="AB49" s="179"/>
      <c r="AC49" s="179"/>
      <c r="AD49" s="192"/>
      <c r="AE49" s="351"/>
      <c r="AF49" s="73"/>
    </row>
    <row r="50" spans="2:32" s="83" customFormat="1" ht="12.75" customHeight="1">
      <c r="B50" s="100" t="s">
        <v>136</v>
      </c>
      <c r="C50" s="179"/>
      <c r="D50" s="210">
        <v>23</v>
      </c>
      <c r="E50" s="179">
        <f t="shared" si="41"/>
        <v>23</v>
      </c>
      <c r="F50" s="179">
        <f t="shared" si="41"/>
        <v>23</v>
      </c>
      <c r="G50" s="179">
        <f t="shared" si="41"/>
        <v>23</v>
      </c>
      <c r="H50" s="179">
        <f t="shared" si="41"/>
        <v>23</v>
      </c>
      <c r="I50" s="179">
        <f t="shared" si="41"/>
        <v>23</v>
      </c>
      <c r="J50" s="192">
        <f t="shared" si="41"/>
        <v>23</v>
      </c>
      <c r="K50" s="351">
        <f t="shared" si="41"/>
        <v>23</v>
      </c>
      <c r="L50" s="352">
        <f t="shared" si="41"/>
        <v>23</v>
      </c>
      <c r="M50" s="179">
        <f t="shared" si="41"/>
        <v>23</v>
      </c>
      <c r="N50" s="179">
        <f t="shared" si="41"/>
        <v>23</v>
      </c>
      <c r="O50" s="192">
        <f t="shared" si="41"/>
        <v>23</v>
      </c>
      <c r="P50" s="351">
        <f t="shared" si="41"/>
        <v>23</v>
      </c>
      <c r="Q50" s="352">
        <f t="shared" si="41"/>
        <v>23</v>
      </c>
      <c r="R50" s="179">
        <f t="shared" si="41"/>
        <v>23</v>
      </c>
      <c r="S50" s="179">
        <f t="shared" si="41"/>
        <v>23</v>
      </c>
      <c r="T50" s="192"/>
      <c r="U50" s="351"/>
      <c r="V50" s="352"/>
      <c r="W50" s="179"/>
      <c r="X50" s="179"/>
      <c r="Y50" s="192"/>
      <c r="Z50" s="351"/>
      <c r="AA50" s="352"/>
      <c r="AB50" s="179"/>
      <c r="AC50" s="179"/>
      <c r="AD50" s="192"/>
      <c r="AE50" s="351"/>
      <c r="AF50" s="73"/>
    </row>
    <row r="51" spans="2:32" s="83" customFormat="1" ht="12.75" customHeight="1">
      <c r="B51" s="100" t="s">
        <v>137</v>
      </c>
      <c r="C51" s="179"/>
      <c r="D51" s="210">
        <v>7.6</v>
      </c>
      <c r="E51" s="179">
        <f t="shared" si="41"/>
        <v>7.6</v>
      </c>
      <c r="F51" s="179">
        <f t="shared" si="41"/>
        <v>7.6</v>
      </c>
      <c r="G51" s="179">
        <f t="shared" si="41"/>
        <v>7.6</v>
      </c>
      <c r="H51" s="179">
        <f t="shared" si="41"/>
        <v>7.6</v>
      </c>
      <c r="I51" s="179">
        <f t="shared" si="41"/>
        <v>7.6</v>
      </c>
      <c r="J51" s="192">
        <f t="shared" si="41"/>
        <v>7.6</v>
      </c>
      <c r="K51" s="351">
        <f t="shared" si="41"/>
        <v>7.6</v>
      </c>
      <c r="L51" s="352">
        <f t="shared" si="41"/>
        <v>7.6</v>
      </c>
      <c r="M51" s="179">
        <f t="shared" si="41"/>
        <v>7.6</v>
      </c>
      <c r="N51" s="179">
        <f t="shared" si="41"/>
        <v>7.6</v>
      </c>
      <c r="O51" s="192">
        <f t="shared" si="41"/>
        <v>7.6</v>
      </c>
      <c r="P51" s="351">
        <f t="shared" si="41"/>
        <v>7.6</v>
      </c>
      <c r="Q51" s="352">
        <f t="shared" si="41"/>
        <v>7.6</v>
      </c>
      <c r="R51" s="179">
        <f t="shared" si="41"/>
        <v>7.6</v>
      </c>
      <c r="S51" s="179">
        <f t="shared" si="41"/>
        <v>7.6</v>
      </c>
      <c r="T51" s="192"/>
      <c r="U51" s="351"/>
      <c r="V51" s="352"/>
      <c r="W51" s="179"/>
      <c r="X51" s="179"/>
      <c r="Y51" s="192"/>
      <c r="Z51" s="351"/>
      <c r="AA51" s="352"/>
      <c r="AB51" s="179"/>
      <c r="AC51" s="179"/>
      <c r="AD51" s="192"/>
      <c r="AE51" s="351"/>
      <c r="AF51" s="73"/>
    </row>
    <row r="52" spans="2:32" s="83" customFormat="1" ht="12.75" customHeight="1">
      <c r="B52" s="100" t="s">
        <v>138</v>
      </c>
      <c r="C52" s="179"/>
      <c r="D52" s="210">
        <v>21</v>
      </c>
      <c r="E52" s="179">
        <f t="shared" si="41"/>
        <v>21</v>
      </c>
      <c r="F52" s="179">
        <f t="shared" si="41"/>
        <v>21</v>
      </c>
      <c r="G52" s="179">
        <f t="shared" si="41"/>
        <v>21</v>
      </c>
      <c r="H52" s="179">
        <f t="shared" si="41"/>
        <v>21</v>
      </c>
      <c r="I52" s="179">
        <f t="shared" si="41"/>
        <v>21</v>
      </c>
      <c r="J52" s="192">
        <f t="shared" si="41"/>
        <v>21</v>
      </c>
      <c r="K52" s="351">
        <f t="shared" si="41"/>
        <v>21</v>
      </c>
      <c r="L52" s="352">
        <f t="shared" si="41"/>
        <v>21</v>
      </c>
      <c r="M52" s="179">
        <f t="shared" si="41"/>
        <v>21</v>
      </c>
      <c r="N52" s="179">
        <f t="shared" si="41"/>
        <v>21</v>
      </c>
      <c r="O52" s="192">
        <f t="shared" si="41"/>
        <v>21</v>
      </c>
      <c r="P52" s="351">
        <f t="shared" si="41"/>
        <v>21</v>
      </c>
      <c r="Q52" s="352">
        <f t="shared" si="41"/>
        <v>21</v>
      </c>
      <c r="R52" s="179">
        <f t="shared" si="41"/>
        <v>21</v>
      </c>
      <c r="S52" s="179">
        <f t="shared" si="41"/>
        <v>21</v>
      </c>
      <c r="T52" s="192">
        <f t="shared" si="41"/>
        <v>21</v>
      </c>
      <c r="U52" s="351">
        <f t="shared" ref="U52:AE55" si="42">T52</f>
        <v>21</v>
      </c>
      <c r="V52" s="352">
        <f t="shared" si="42"/>
        <v>21</v>
      </c>
      <c r="W52" s="179">
        <f t="shared" si="42"/>
        <v>21</v>
      </c>
      <c r="X52" s="179">
        <f t="shared" si="42"/>
        <v>21</v>
      </c>
      <c r="Y52" s="192">
        <f t="shared" si="42"/>
        <v>21</v>
      </c>
      <c r="Z52" s="351"/>
      <c r="AA52" s="352"/>
      <c r="AB52" s="179"/>
      <c r="AC52" s="179"/>
      <c r="AD52" s="192"/>
      <c r="AE52" s="351"/>
      <c r="AF52" s="73"/>
    </row>
    <row r="53" spans="2:32" s="83" customFormat="1" ht="12.75" customHeight="1">
      <c r="B53" s="92" t="s">
        <v>175</v>
      </c>
      <c r="C53" s="179"/>
      <c r="D53" s="179"/>
      <c r="E53" s="180"/>
      <c r="F53" s="180"/>
      <c r="G53" s="179"/>
      <c r="H53" s="180"/>
      <c r="I53" s="180"/>
      <c r="J53" s="348"/>
      <c r="K53" s="385">
        <v>175</v>
      </c>
      <c r="L53" s="352">
        <f>K53</f>
        <v>175</v>
      </c>
      <c r="M53" s="179">
        <f t="shared" si="41"/>
        <v>175</v>
      </c>
      <c r="N53" s="179">
        <f t="shared" si="41"/>
        <v>175</v>
      </c>
      <c r="O53" s="192">
        <f t="shared" si="41"/>
        <v>175</v>
      </c>
      <c r="P53" s="351">
        <f t="shared" si="41"/>
        <v>175</v>
      </c>
      <c r="Q53" s="352">
        <f t="shared" si="41"/>
        <v>175</v>
      </c>
      <c r="R53" s="179">
        <f t="shared" si="41"/>
        <v>175</v>
      </c>
      <c r="S53" s="179">
        <f t="shared" si="41"/>
        <v>175</v>
      </c>
      <c r="T53" s="192">
        <f t="shared" si="41"/>
        <v>175</v>
      </c>
      <c r="U53" s="351">
        <f t="shared" si="42"/>
        <v>175</v>
      </c>
      <c r="V53" s="352">
        <f t="shared" si="42"/>
        <v>175</v>
      </c>
      <c r="W53" s="179">
        <f t="shared" si="42"/>
        <v>175</v>
      </c>
      <c r="X53" s="179">
        <f t="shared" si="42"/>
        <v>175</v>
      </c>
      <c r="Y53" s="192">
        <f t="shared" si="42"/>
        <v>175</v>
      </c>
      <c r="Z53" s="351">
        <f t="shared" si="42"/>
        <v>175</v>
      </c>
      <c r="AA53" s="352">
        <f t="shared" si="42"/>
        <v>175</v>
      </c>
      <c r="AB53" s="179">
        <f t="shared" si="42"/>
        <v>175</v>
      </c>
      <c r="AC53" s="179">
        <f t="shared" si="42"/>
        <v>175</v>
      </c>
      <c r="AD53" s="192">
        <f t="shared" si="42"/>
        <v>175</v>
      </c>
      <c r="AE53" s="351">
        <f t="shared" si="42"/>
        <v>175</v>
      </c>
      <c r="AF53" s="73"/>
    </row>
    <row r="54" spans="2:32" s="83" customFormat="1" ht="12.75" customHeight="1">
      <c r="B54" s="629" t="s">
        <v>348</v>
      </c>
      <c r="C54" s="179"/>
      <c r="D54" s="179"/>
      <c r="E54" s="180"/>
      <c r="F54" s="180"/>
      <c r="G54" s="179"/>
      <c r="H54" s="180"/>
      <c r="I54" s="180"/>
      <c r="J54" s="348"/>
      <c r="K54" s="385">
        <v>39</v>
      </c>
      <c r="L54" s="352">
        <f>K54</f>
        <v>39</v>
      </c>
      <c r="M54" s="179">
        <f t="shared" si="41"/>
        <v>39</v>
      </c>
      <c r="N54" s="179">
        <f t="shared" si="41"/>
        <v>39</v>
      </c>
      <c r="O54" s="192">
        <f t="shared" si="41"/>
        <v>39</v>
      </c>
      <c r="P54" s="351">
        <f t="shared" si="41"/>
        <v>39</v>
      </c>
      <c r="Q54" s="352">
        <f t="shared" si="41"/>
        <v>39</v>
      </c>
      <c r="R54" s="179">
        <f t="shared" si="41"/>
        <v>39</v>
      </c>
      <c r="S54" s="179">
        <f t="shared" si="41"/>
        <v>39</v>
      </c>
      <c r="T54" s="192">
        <f t="shared" ref="T54" si="43">S54</f>
        <v>39</v>
      </c>
      <c r="U54" s="351">
        <f t="shared" si="42"/>
        <v>39</v>
      </c>
      <c r="V54" s="352">
        <f t="shared" si="42"/>
        <v>39</v>
      </c>
      <c r="W54" s="179">
        <f t="shared" si="42"/>
        <v>39</v>
      </c>
      <c r="X54" s="179">
        <f t="shared" si="42"/>
        <v>39</v>
      </c>
      <c r="Y54" s="192">
        <f t="shared" si="42"/>
        <v>39</v>
      </c>
      <c r="Z54" s="351">
        <f t="shared" si="42"/>
        <v>39</v>
      </c>
      <c r="AA54" s="352">
        <f t="shared" si="42"/>
        <v>39</v>
      </c>
      <c r="AB54" s="179">
        <f t="shared" si="42"/>
        <v>39</v>
      </c>
      <c r="AC54" s="179">
        <f t="shared" si="42"/>
        <v>39</v>
      </c>
      <c r="AD54" s="192">
        <f t="shared" si="42"/>
        <v>39</v>
      </c>
      <c r="AE54" s="351">
        <f t="shared" si="42"/>
        <v>39</v>
      </c>
      <c r="AF54" s="73"/>
    </row>
    <row r="55" spans="2:32" s="89" customFormat="1" ht="12.75" customHeight="1" thickBot="1">
      <c r="B55" s="92" t="s">
        <v>176</v>
      </c>
      <c r="C55" s="179"/>
      <c r="D55" s="179"/>
      <c r="E55" s="179"/>
      <c r="F55" s="179"/>
      <c r="G55" s="179"/>
      <c r="H55" s="179"/>
      <c r="I55" s="179"/>
      <c r="J55" s="192"/>
      <c r="K55" s="349"/>
      <c r="L55" s="387">
        <v>25</v>
      </c>
      <c r="M55" s="179">
        <f t="shared" si="41"/>
        <v>25</v>
      </c>
      <c r="N55" s="179">
        <f t="shared" si="41"/>
        <v>25</v>
      </c>
      <c r="O55" s="192">
        <f t="shared" si="41"/>
        <v>25</v>
      </c>
      <c r="P55" s="351">
        <f t="shared" si="41"/>
        <v>25</v>
      </c>
      <c r="Q55" s="352">
        <f t="shared" si="41"/>
        <v>25</v>
      </c>
      <c r="R55" s="179">
        <f t="shared" si="41"/>
        <v>25</v>
      </c>
      <c r="S55" s="179">
        <f t="shared" si="41"/>
        <v>25</v>
      </c>
      <c r="T55" s="192">
        <f t="shared" si="41"/>
        <v>25</v>
      </c>
      <c r="U55" s="351">
        <f t="shared" si="42"/>
        <v>25</v>
      </c>
      <c r="V55" s="352">
        <f t="shared" si="42"/>
        <v>25</v>
      </c>
      <c r="W55" s="179">
        <f t="shared" si="42"/>
        <v>25</v>
      </c>
      <c r="X55" s="179">
        <f t="shared" si="42"/>
        <v>25</v>
      </c>
      <c r="Y55" s="192">
        <f t="shared" si="42"/>
        <v>25</v>
      </c>
      <c r="Z55" s="351">
        <f t="shared" si="42"/>
        <v>25</v>
      </c>
      <c r="AA55" s="352">
        <f t="shared" si="42"/>
        <v>25</v>
      </c>
      <c r="AB55" s="179">
        <f t="shared" si="42"/>
        <v>25</v>
      </c>
      <c r="AC55" s="179">
        <f t="shared" si="42"/>
        <v>25</v>
      </c>
      <c r="AD55" s="192">
        <f t="shared" si="42"/>
        <v>25</v>
      </c>
      <c r="AE55" s="351">
        <f t="shared" si="42"/>
        <v>25</v>
      </c>
      <c r="AF55" s="47"/>
    </row>
    <row r="56" spans="2:32" s="96" customFormat="1" ht="12.75" customHeight="1" thickBot="1">
      <c r="B56" s="97" t="s">
        <v>9</v>
      </c>
      <c r="C56" s="198"/>
      <c r="D56" s="198">
        <f t="shared" ref="D56:AE56" si="44">D39+D47</f>
        <v>129.55000000000001</v>
      </c>
      <c r="E56" s="199">
        <f t="shared" si="44"/>
        <v>129.55000000000001</v>
      </c>
      <c r="F56" s="199">
        <f t="shared" si="44"/>
        <v>129.55000000000001</v>
      </c>
      <c r="G56" s="199">
        <f t="shared" si="44"/>
        <v>129.55000000000001</v>
      </c>
      <c r="H56" s="199">
        <f t="shared" si="44"/>
        <v>124.6</v>
      </c>
      <c r="I56" s="199">
        <f t="shared" si="44"/>
        <v>124.6</v>
      </c>
      <c r="J56" s="200">
        <f t="shared" si="44"/>
        <v>124.6</v>
      </c>
      <c r="K56" s="372">
        <f t="shared" si="44"/>
        <v>524.6</v>
      </c>
      <c r="L56" s="373">
        <f t="shared" si="44"/>
        <v>569.6</v>
      </c>
      <c r="M56" s="199">
        <f t="shared" si="44"/>
        <v>569.6</v>
      </c>
      <c r="N56" s="199">
        <f t="shared" si="44"/>
        <v>569.6</v>
      </c>
      <c r="O56" s="200">
        <f t="shared" si="44"/>
        <v>569.6</v>
      </c>
      <c r="P56" s="372">
        <f t="shared" si="44"/>
        <v>569.6</v>
      </c>
      <c r="Q56" s="373">
        <f t="shared" si="44"/>
        <v>529.6</v>
      </c>
      <c r="R56" s="199">
        <f t="shared" si="44"/>
        <v>529.6</v>
      </c>
      <c r="S56" s="199">
        <f t="shared" si="44"/>
        <v>529.6</v>
      </c>
      <c r="T56" s="200">
        <f t="shared" si="44"/>
        <v>481.8</v>
      </c>
      <c r="U56" s="372">
        <f t="shared" si="44"/>
        <v>481.8</v>
      </c>
      <c r="V56" s="373">
        <f t="shared" si="44"/>
        <v>481.8</v>
      </c>
      <c r="W56" s="199">
        <f t="shared" si="44"/>
        <v>481.8</v>
      </c>
      <c r="X56" s="199">
        <f t="shared" si="44"/>
        <v>481.8</v>
      </c>
      <c r="Y56" s="200">
        <f t="shared" si="44"/>
        <v>481.8</v>
      </c>
      <c r="Z56" s="372">
        <f t="shared" si="44"/>
        <v>453.6</v>
      </c>
      <c r="AA56" s="373">
        <f t="shared" si="44"/>
        <v>453.6</v>
      </c>
      <c r="AB56" s="199">
        <f t="shared" si="44"/>
        <v>450</v>
      </c>
      <c r="AC56" s="199">
        <f t="shared" si="44"/>
        <v>450</v>
      </c>
      <c r="AD56" s="200">
        <f t="shared" si="44"/>
        <v>450</v>
      </c>
      <c r="AE56" s="372">
        <f t="shared" si="44"/>
        <v>450</v>
      </c>
      <c r="AF56" s="74"/>
    </row>
    <row r="57" spans="2:32" s="74" customFormat="1" ht="12.75" customHeight="1">
      <c r="C57" s="204"/>
      <c r="D57" s="204"/>
      <c r="E57" s="211"/>
      <c r="F57" s="211"/>
      <c r="G57" s="204"/>
      <c r="H57" s="211"/>
      <c r="I57" s="211"/>
      <c r="J57" s="211"/>
      <c r="K57" s="211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4"/>
      <c r="AC57" s="204"/>
      <c r="AD57" s="204"/>
      <c r="AE57" s="204"/>
    </row>
    <row r="58" spans="2:32" s="35" customFormat="1" ht="15.75">
      <c r="B58" s="43" t="s">
        <v>177</v>
      </c>
      <c r="C58" s="178"/>
      <c r="D58" s="178"/>
      <c r="E58"/>
      <c r="F58" s="178"/>
      <c r="G58"/>
      <c r="H58" s="388"/>
      <c r="I58" s="388"/>
      <c r="J58" s="388"/>
      <c r="K58" s="388"/>
      <c r="L58" s="388"/>
      <c r="M58" s="388"/>
      <c r="N58" s="388"/>
      <c r="O58" s="38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</row>
    <row r="59" spans="2:32" s="31" customFormat="1" ht="12.75" customHeight="1">
      <c r="B59" s="48" t="str">
        <f>+B4</f>
        <v>Primo år</v>
      </c>
      <c r="C59" s="170">
        <v>2012</v>
      </c>
      <c r="D59" s="170">
        <f t="shared" ref="D59:Z59" si="45">+D4</f>
        <v>2013</v>
      </c>
      <c r="E59" s="170">
        <f t="shared" si="45"/>
        <v>2014</v>
      </c>
      <c r="F59" s="170">
        <f t="shared" si="45"/>
        <v>2015</v>
      </c>
      <c r="G59" s="170">
        <f t="shared" si="45"/>
        <v>2016</v>
      </c>
      <c r="H59" s="170">
        <f t="shared" si="45"/>
        <v>2017</v>
      </c>
      <c r="I59" s="170">
        <f t="shared" si="45"/>
        <v>2018</v>
      </c>
      <c r="J59" s="238">
        <f t="shared" si="45"/>
        <v>2019</v>
      </c>
      <c r="K59" s="383">
        <f t="shared" si="45"/>
        <v>2020</v>
      </c>
      <c r="L59" s="384">
        <f t="shared" si="45"/>
        <v>2021</v>
      </c>
      <c r="M59" s="170">
        <f t="shared" si="45"/>
        <v>2022</v>
      </c>
      <c r="N59" s="170">
        <f t="shared" si="45"/>
        <v>2023</v>
      </c>
      <c r="O59" s="238">
        <f t="shared" si="45"/>
        <v>2024</v>
      </c>
      <c r="P59" s="383">
        <f t="shared" si="45"/>
        <v>2025</v>
      </c>
      <c r="Q59" s="384">
        <f t="shared" si="45"/>
        <v>2026</v>
      </c>
      <c r="R59" s="170">
        <f t="shared" si="45"/>
        <v>2027</v>
      </c>
      <c r="S59" s="170">
        <f t="shared" si="45"/>
        <v>2028</v>
      </c>
      <c r="T59" s="238">
        <f t="shared" si="45"/>
        <v>2029</v>
      </c>
      <c r="U59" s="383">
        <f t="shared" si="45"/>
        <v>2030</v>
      </c>
      <c r="V59" s="384">
        <f t="shared" si="45"/>
        <v>2031</v>
      </c>
      <c r="W59" s="170">
        <f t="shared" si="45"/>
        <v>2032</v>
      </c>
      <c r="X59" s="170">
        <f t="shared" si="45"/>
        <v>2033</v>
      </c>
      <c r="Y59" s="238">
        <f t="shared" si="45"/>
        <v>2034</v>
      </c>
      <c r="Z59" s="383">
        <f t="shared" si="45"/>
        <v>2035</v>
      </c>
      <c r="AA59" s="384">
        <v>2036</v>
      </c>
      <c r="AB59" s="170">
        <v>2037</v>
      </c>
      <c r="AC59" s="170">
        <v>2038</v>
      </c>
      <c r="AD59" s="238">
        <v>2039</v>
      </c>
      <c r="AE59" s="383">
        <v>2040</v>
      </c>
      <c r="AF59" s="32"/>
    </row>
    <row r="60" spans="2:32" s="83" customFormat="1" ht="12.75" customHeight="1">
      <c r="B60" s="93" t="s">
        <v>178</v>
      </c>
      <c r="C60" s="179"/>
      <c r="D60" s="210">
        <v>160</v>
      </c>
      <c r="E60" s="180">
        <f t="shared" ref="E60:S61" si="46">D60</f>
        <v>160</v>
      </c>
      <c r="F60" s="180">
        <f t="shared" si="46"/>
        <v>160</v>
      </c>
      <c r="G60" s="179">
        <f t="shared" si="46"/>
        <v>160</v>
      </c>
      <c r="H60" s="180">
        <f t="shared" si="46"/>
        <v>160</v>
      </c>
      <c r="I60" s="180">
        <f t="shared" si="46"/>
        <v>160</v>
      </c>
      <c r="J60" s="348">
        <f t="shared" si="46"/>
        <v>160</v>
      </c>
      <c r="K60" s="349">
        <f t="shared" si="46"/>
        <v>160</v>
      </c>
      <c r="L60" s="352">
        <f t="shared" si="46"/>
        <v>160</v>
      </c>
      <c r="M60" s="179">
        <f t="shared" si="46"/>
        <v>160</v>
      </c>
      <c r="N60" s="179">
        <f t="shared" si="46"/>
        <v>160</v>
      </c>
      <c r="O60" s="192">
        <f t="shared" si="46"/>
        <v>160</v>
      </c>
      <c r="P60" s="351">
        <f t="shared" si="46"/>
        <v>160</v>
      </c>
      <c r="Q60" s="352">
        <f t="shared" si="46"/>
        <v>160</v>
      </c>
      <c r="R60" s="179">
        <f t="shared" si="46"/>
        <v>160</v>
      </c>
      <c r="S60" s="179"/>
      <c r="T60" s="192"/>
      <c r="U60" s="351"/>
      <c r="V60" s="352"/>
      <c r="W60" s="179"/>
      <c r="X60" s="179"/>
      <c r="Y60" s="192"/>
      <c r="Z60" s="351"/>
      <c r="AA60" s="352"/>
      <c r="AB60" s="179"/>
      <c r="AC60" s="179"/>
      <c r="AD60" s="192"/>
      <c r="AE60" s="351"/>
      <c r="AF60" s="73"/>
    </row>
    <row r="61" spans="2:32" s="83" customFormat="1" ht="12.75" customHeight="1">
      <c r="B61" s="93" t="s">
        <v>179</v>
      </c>
      <c r="C61" s="179"/>
      <c r="D61" s="210">
        <v>165.6</v>
      </c>
      <c r="E61" s="180">
        <f>D61</f>
        <v>165.6</v>
      </c>
      <c r="F61" s="180">
        <f t="shared" si="46"/>
        <v>165.6</v>
      </c>
      <c r="G61" s="180">
        <f t="shared" si="46"/>
        <v>165.6</v>
      </c>
      <c r="H61" s="180">
        <f t="shared" si="46"/>
        <v>165.6</v>
      </c>
      <c r="I61" s="180">
        <f t="shared" si="46"/>
        <v>165.6</v>
      </c>
      <c r="J61" s="348">
        <f t="shared" si="46"/>
        <v>165.6</v>
      </c>
      <c r="K61" s="349">
        <f t="shared" si="46"/>
        <v>165.6</v>
      </c>
      <c r="L61" s="365">
        <f t="shared" si="46"/>
        <v>165.6</v>
      </c>
      <c r="M61" s="180">
        <f t="shared" si="46"/>
        <v>165.6</v>
      </c>
      <c r="N61" s="180">
        <f t="shared" si="46"/>
        <v>165.6</v>
      </c>
      <c r="O61" s="348">
        <f t="shared" si="46"/>
        <v>165.6</v>
      </c>
      <c r="P61" s="349">
        <f t="shared" si="46"/>
        <v>165.6</v>
      </c>
      <c r="Q61" s="365">
        <f t="shared" si="46"/>
        <v>165.6</v>
      </c>
      <c r="R61" s="180">
        <f t="shared" si="46"/>
        <v>165.6</v>
      </c>
      <c r="S61" s="180">
        <f t="shared" si="46"/>
        <v>165.6</v>
      </c>
      <c r="T61" s="348"/>
      <c r="U61" s="349"/>
      <c r="V61" s="365"/>
      <c r="W61" s="180"/>
      <c r="X61" s="180"/>
      <c r="Y61" s="348"/>
      <c r="Z61" s="349"/>
      <c r="AA61" s="365"/>
      <c r="AB61" s="180"/>
      <c r="AC61" s="180"/>
      <c r="AD61" s="348"/>
      <c r="AE61" s="349"/>
      <c r="AF61" s="73"/>
    </row>
    <row r="62" spans="2:32" s="83" customFormat="1" ht="12.75" customHeight="1">
      <c r="B62" s="93" t="s">
        <v>180</v>
      </c>
      <c r="C62" s="179"/>
      <c r="D62" s="210">
        <v>209.3</v>
      </c>
      <c r="E62" s="180">
        <f t="shared" ref="E62:T66" si="47">D62</f>
        <v>209.3</v>
      </c>
      <c r="F62" s="180">
        <f t="shared" si="47"/>
        <v>209.3</v>
      </c>
      <c r="G62" s="180">
        <f t="shared" si="47"/>
        <v>209.3</v>
      </c>
      <c r="H62" s="180">
        <f t="shared" si="47"/>
        <v>209.3</v>
      </c>
      <c r="I62" s="180">
        <f t="shared" si="47"/>
        <v>209.3</v>
      </c>
      <c r="J62" s="348">
        <f t="shared" si="47"/>
        <v>209.3</v>
      </c>
      <c r="K62" s="349">
        <f t="shared" si="47"/>
        <v>209.3</v>
      </c>
      <c r="L62" s="365">
        <f t="shared" si="47"/>
        <v>209.3</v>
      </c>
      <c r="M62" s="180">
        <f t="shared" si="47"/>
        <v>209.3</v>
      </c>
      <c r="N62" s="180">
        <f t="shared" si="47"/>
        <v>209.3</v>
      </c>
      <c r="O62" s="348">
        <f t="shared" si="47"/>
        <v>209.3</v>
      </c>
      <c r="P62" s="349">
        <f t="shared" si="47"/>
        <v>209.3</v>
      </c>
      <c r="Q62" s="365">
        <f t="shared" si="47"/>
        <v>209.3</v>
      </c>
      <c r="R62" s="180">
        <f t="shared" si="47"/>
        <v>209.3</v>
      </c>
      <c r="S62" s="180">
        <f t="shared" si="47"/>
        <v>209.3</v>
      </c>
      <c r="T62" s="348">
        <f t="shared" si="47"/>
        <v>209.3</v>
      </c>
      <c r="U62" s="349">
        <f t="shared" ref="T62:AE70" si="48">T62</f>
        <v>209.3</v>
      </c>
      <c r="V62" s="365">
        <f t="shared" si="48"/>
        <v>209.3</v>
      </c>
      <c r="W62" s="180">
        <f t="shared" si="48"/>
        <v>209.3</v>
      </c>
      <c r="X62" s="180">
        <f t="shared" si="48"/>
        <v>209.3</v>
      </c>
      <c r="Y62" s="348">
        <f t="shared" si="48"/>
        <v>209.3</v>
      </c>
      <c r="Z62" s="349"/>
      <c r="AA62" s="365"/>
      <c r="AB62" s="180"/>
      <c r="AC62" s="180"/>
      <c r="AD62" s="348"/>
      <c r="AE62" s="349"/>
      <c r="AF62" s="73"/>
    </row>
    <row r="63" spans="2:32" s="83" customFormat="1" ht="12.75" customHeight="1">
      <c r="B63" s="93" t="s">
        <v>181</v>
      </c>
      <c r="C63" s="179"/>
      <c r="D63" s="210">
        <v>207</v>
      </c>
      <c r="E63" s="180">
        <f t="shared" si="47"/>
        <v>207</v>
      </c>
      <c r="F63" s="180">
        <f t="shared" si="47"/>
        <v>207</v>
      </c>
      <c r="G63" s="179">
        <f t="shared" si="47"/>
        <v>207</v>
      </c>
      <c r="H63" s="180">
        <f t="shared" si="47"/>
        <v>207</v>
      </c>
      <c r="I63" s="180">
        <f t="shared" si="47"/>
        <v>207</v>
      </c>
      <c r="J63" s="348">
        <f t="shared" si="47"/>
        <v>207</v>
      </c>
      <c r="K63" s="349">
        <f t="shared" si="47"/>
        <v>207</v>
      </c>
      <c r="L63" s="352">
        <f t="shared" si="47"/>
        <v>207</v>
      </c>
      <c r="M63" s="179">
        <f t="shared" si="47"/>
        <v>207</v>
      </c>
      <c r="N63" s="179">
        <f t="shared" si="47"/>
        <v>207</v>
      </c>
      <c r="O63" s="192">
        <f t="shared" si="47"/>
        <v>207</v>
      </c>
      <c r="P63" s="351">
        <f t="shared" si="47"/>
        <v>207</v>
      </c>
      <c r="Q63" s="352">
        <f t="shared" si="47"/>
        <v>207</v>
      </c>
      <c r="R63" s="179">
        <f t="shared" si="47"/>
        <v>207</v>
      </c>
      <c r="S63" s="179">
        <f t="shared" si="47"/>
        <v>207</v>
      </c>
      <c r="T63" s="192">
        <f t="shared" si="47"/>
        <v>207</v>
      </c>
      <c r="U63" s="351">
        <f t="shared" si="48"/>
        <v>207</v>
      </c>
      <c r="V63" s="352">
        <f t="shared" si="48"/>
        <v>207</v>
      </c>
      <c r="W63" s="179">
        <f t="shared" si="48"/>
        <v>207</v>
      </c>
      <c r="X63" s="179">
        <f t="shared" si="48"/>
        <v>207</v>
      </c>
      <c r="Y63" s="192">
        <f t="shared" si="48"/>
        <v>207</v>
      </c>
      <c r="Z63" s="351">
        <f t="shared" si="48"/>
        <v>207</v>
      </c>
      <c r="AA63" s="352"/>
      <c r="AB63" s="179"/>
      <c r="AC63" s="179"/>
      <c r="AD63" s="192"/>
      <c r="AE63" s="351"/>
      <c r="AF63" s="73"/>
    </row>
    <row r="64" spans="2:32" s="83" customFormat="1" ht="12.75" customHeight="1">
      <c r="B64" s="93" t="s">
        <v>182</v>
      </c>
      <c r="C64" s="179"/>
      <c r="D64" s="210">
        <v>50.4</v>
      </c>
      <c r="E64" s="210">
        <v>399.6</v>
      </c>
      <c r="F64" s="180">
        <f t="shared" si="47"/>
        <v>399.6</v>
      </c>
      <c r="G64" s="179">
        <f t="shared" si="47"/>
        <v>399.6</v>
      </c>
      <c r="H64" s="180">
        <f t="shared" si="47"/>
        <v>399.6</v>
      </c>
      <c r="I64" s="180">
        <f t="shared" si="47"/>
        <v>399.6</v>
      </c>
      <c r="J64" s="348">
        <f t="shared" si="47"/>
        <v>399.6</v>
      </c>
      <c r="K64" s="349">
        <f t="shared" si="47"/>
        <v>399.6</v>
      </c>
      <c r="L64" s="352">
        <f t="shared" si="47"/>
        <v>399.6</v>
      </c>
      <c r="M64" s="179">
        <f t="shared" si="47"/>
        <v>399.6</v>
      </c>
      <c r="N64" s="179">
        <f t="shared" si="47"/>
        <v>399.6</v>
      </c>
      <c r="O64" s="192">
        <f t="shared" si="47"/>
        <v>399.6</v>
      </c>
      <c r="P64" s="351">
        <f t="shared" si="47"/>
        <v>399.6</v>
      </c>
      <c r="Q64" s="352">
        <f t="shared" si="47"/>
        <v>399.6</v>
      </c>
      <c r="R64" s="179">
        <f t="shared" si="47"/>
        <v>399.6</v>
      </c>
      <c r="S64" s="179">
        <f t="shared" si="47"/>
        <v>399.6</v>
      </c>
      <c r="T64" s="192">
        <f t="shared" si="47"/>
        <v>399.6</v>
      </c>
      <c r="U64" s="351">
        <f t="shared" si="48"/>
        <v>399.6</v>
      </c>
      <c r="V64" s="352">
        <f t="shared" si="48"/>
        <v>399.6</v>
      </c>
      <c r="W64" s="179">
        <f t="shared" si="48"/>
        <v>399.6</v>
      </c>
      <c r="X64" s="179">
        <f t="shared" si="48"/>
        <v>399.6</v>
      </c>
      <c r="Y64" s="192">
        <f t="shared" si="48"/>
        <v>399.6</v>
      </c>
      <c r="Z64" s="351">
        <f t="shared" si="48"/>
        <v>399.6</v>
      </c>
      <c r="AA64" s="352">
        <f t="shared" si="48"/>
        <v>399.6</v>
      </c>
      <c r="AB64" s="179">
        <f t="shared" si="48"/>
        <v>399.6</v>
      </c>
      <c r="AC64" s="179">
        <f t="shared" si="48"/>
        <v>399.6</v>
      </c>
      <c r="AD64" s="192"/>
      <c r="AE64" s="351"/>
      <c r="AF64" s="73"/>
    </row>
    <row r="65" spans="1:32" s="83" customFormat="1" ht="12.75" customHeight="1">
      <c r="B65" s="93" t="s">
        <v>183</v>
      </c>
      <c r="C65" s="179"/>
      <c r="D65" s="179"/>
      <c r="E65" s="180"/>
      <c r="F65" s="180"/>
      <c r="G65" s="179"/>
      <c r="H65" s="180"/>
      <c r="I65" s="626"/>
      <c r="J65" s="239">
        <v>406.7</v>
      </c>
      <c r="K65" s="627">
        <f>J65</f>
        <v>406.7</v>
      </c>
      <c r="L65" s="365">
        <f t="shared" si="47"/>
        <v>406.7</v>
      </c>
      <c r="M65" s="180">
        <f t="shared" si="47"/>
        <v>406.7</v>
      </c>
      <c r="N65" s="180">
        <f t="shared" si="47"/>
        <v>406.7</v>
      </c>
      <c r="O65" s="192">
        <f>N65</f>
        <v>406.7</v>
      </c>
      <c r="P65" s="351">
        <f t="shared" si="47"/>
        <v>406.7</v>
      </c>
      <c r="Q65" s="352">
        <f>P65</f>
        <v>406.7</v>
      </c>
      <c r="R65" s="179">
        <f t="shared" si="47"/>
        <v>406.7</v>
      </c>
      <c r="S65" s="179">
        <f t="shared" si="47"/>
        <v>406.7</v>
      </c>
      <c r="T65" s="192">
        <f t="shared" si="47"/>
        <v>406.7</v>
      </c>
      <c r="U65" s="351">
        <f t="shared" si="48"/>
        <v>406.7</v>
      </c>
      <c r="V65" s="352">
        <f t="shared" si="48"/>
        <v>406.7</v>
      </c>
      <c r="W65" s="179">
        <f t="shared" si="48"/>
        <v>406.7</v>
      </c>
      <c r="X65" s="179">
        <f t="shared" si="48"/>
        <v>406.7</v>
      </c>
      <c r="Y65" s="192">
        <f t="shared" si="48"/>
        <v>406.7</v>
      </c>
      <c r="Z65" s="351">
        <f t="shared" si="48"/>
        <v>406.7</v>
      </c>
      <c r="AA65" s="352">
        <f>Z65</f>
        <v>406.7</v>
      </c>
      <c r="AB65" s="179">
        <f t="shared" si="48"/>
        <v>406.7</v>
      </c>
      <c r="AC65" s="179">
        <f t="shared" si="48"/>
        <v>406.7</v>
      </c>
      <c r="AD65" s="192">
        <f t="shared" si="48"/>
        <v>406.7</v>
      </c>
      <c r="AE65" s="351">
        <f t="shared" si="48"/>
        <v>406.7</v>
      </c>
      <c r="AF65" s="73"/>
    </row>
    <row r="66" spans="1:32" s="83" customFormat="1" ht="12.75" customHeight="1">
      <c r="B66" s="40" t="s">
        <v>70</v>
      </c>
      <c r="C66" s="179"/>
      <c r="D66" s="179"/>
      <c r="E66" s="180"/>
      <c r="F66" s="180"/>
      <c r="G66" s="179"/>
      <c r="H66" s="180"/>
      <c r="I66" s="180"/>
      <c r="J66" s="389"/>
      <c r="K66" s="385">
        <v>200</v>
      </c>
      <c r="L66" s="387">
        <v>400</v>
      </c>
      <c r="M66" s="210">
        <v>600</v>
      </c>
      <c r="N66" s="179">
        <f t="shared" si="47"/>
        <v>600</v>
      </c>
      <c r="O66" s="192">
        <f t="shared" si="47"/>
        <v>600</v>
      </c>
      <c r="P66" s="351">
        <f t="shared" si="47"/>
        <v>600</v>
      </c>
      <c r="Q66" s="352">
        <f t="shared" si="47"/>
        <v>600</v>
      </c>
      <c r="R66" s="179">
        <f t="shared" si="47"/>
        <v>600</v>
      </c>
      <c r="S66" s="179">
        <f t="shared" si="47"/>
        <v>600</v>
      </c>
      <c r="T66" s="192">
        <f t="shared" si="47"/>
        <v>600</v>
      </c>
      <c r="U66" s="351">
        <f t="shared" si="48"/>
        <v>600</v>
      </c>
      <c r="V66" s="352">
        <f t="shared" si="48"/>
        <v>600</v>
      </c>
      <c r="W66" s="179">
        <f t="shared" si="48"/>
        <v>600</v>
      </c>
      <c r="X66" s="179">
        <f t="shared" si="48"/>
        <v>600</v>
      </c>
      <c r="Y66" s="192">
        <f t="shared" si="48"/>
        <v>600</v>
      </c>
      <c r="Z66" s="351">
        <f t="shared" si="48"/>
        <v>600</v>
      </c>
      <c r="AA66" s="352">
        <f t="shared" si="48"/>
        <v>600</v>
      </c>
      <c r="AB66" s="179">
        <f t="shared" si="48"/>
        <v>600</v>
      </c>
      <c r="AC66" s="179">
        <f t="shared" si="48"/>
        <v>600</v>
      </c>
      <c r="AD66" s="192">
        <f t="shared" si="48"/>
        <v>600</v>
      </c>
      <c r="AE66" s="351">
        <f t="shared" si="48"/>
        <v>600</v>
      </c>
      <c r="AF66" s="73"/>
    </row>
    <row r="67" spans="1:32" s="83" customFormat="1" ht="12.75" customHeight="1">
      <c r="B67" s="92" t="s">
        <v>257</v>
      </c>
      <c r="C67" s="179"/>
      <c r="D67" s="179"/>
      <c r="E67" s="180"/>
      <c r="F67" s="180"/>
      <c r="G67" s="179"/>
      <c r="H67" s="180"/>
      <c r="I67" s="180"/>
      <c r="J67" s="348"/>
      <c r="K67" s="349"/>
      <c r="L67" s="352"/>
      <c r="M67" s="179"/>
      <c r="N67" s="179"/>
      <c r="O67" s="192"/>
      <c r="P67" s="351"/>
      <c r="Q67" s="350"/>
      <c r="R67" s="387">
        <v>200</v>
      </c>
      <c r="S67" s="210">
        <v>400</v>
      </c>
      <c r="T67" s="192">
        <f t="shared" si="48"/>
        <v>400</v>
      </c>
      <c r="U67" s="351">
        <f t="shared" si="48"/>
        <v>400</v>
      </c>
      <c r="V67" s="352">
        <f t="shared" si="48"/>
        <v>400</v>
      </c>
      <c r="W67" s="179">
        <f t="shared" si="48"/>
        <v>400</v>
      </c>
      <c r="X67" s="179">
        <f t="shared" si="48"/>
        <v>400</v>
      </c>
      <c r="Y67" s="192">
        <f t="shared" si="48"/>
        <v>400</v>
      </c>
      <c r="Z67" s="351">
        <f t="shared" si="48"/>
        <v>400</v>
      </c>
      <c r="AA67" s="352">
        <f t="shared" si="48"/>
        <v>400</v>
      </c>
      <c r="AB67" s="179">
        <f t="shared" si="48"/>
        <v>400</v>
      </c>
      <c r="AC67" s="179">
        <f t="shared" si="48"/>
        <v>400</v>
      </c>
      <c r="AD67" s="192">
        <f t="shared" si="48"/>
        <v>400</v>
      </c>
      <c r="AE67" s="351">
        <f t="shared" si="48"/>
        <v>400</v>
      </c>
      <c r="AF67" s="73"/>
    </row>
    <row r="68" spans="1:32" s="83" customFormat="1" ht="12.75" customHeight="1">
      <c r="B68" s="40" t="s">
        <v>258</v>
      </c>
      <c r="C68" s="179"/>
      <c r="D68" s="179"/>
      <c r="E68" s="180"/>
      <c r="F68" s="180"/>
      <c r="G68" s="179"/>
      <c r="H68" s="180"/>
      <c r="I68" s="180"/>
      <c r="J68" s="348"/>
      <c r="K68" s="349"/>
      <c r="L68" s="352"/>
      <c r="M68" s="179"/>
      <c r="N68" s="179"/>
      <c r="O68" s="193"/>
      <c r="P68" s="369"/>
      <c r="Q68" s="350"/>
      <c r="R68" s="181"/>
      <c r="S68" s="181"/>
      <c r="T68" s="193"/>
      <c r="U68" s="385">
        <v>200</v>
      </c>
      <c r="V68" s="387">
        <v>400</v>
      </c>
      <c r="W68" s="181">
        <f t="shared" si="48"/>
        <v>400</v>
      </c>
      <c r="X68" s="181">
        <f t="shared" si="48"/>
        <v>400</v>
      </c>
      <c r="Y68" s="193">
        <f t="shared" si="48"/>
        <v>400</v>
      </c>
      <c r="Z68" s="369">
        <f t="shared" si="48"/>
        <v>400</v>
      </c>
      <c r="AA68" s="350">
        <f t="shared" si="48"/>
        <v>400</v>
      </c>
      <c r="AB68" s="181">
        <f t="shared" si="48"/>
        <v>400</v>
      </c>
      <c r="AC68" s="181">
        <f t="shared" si="48"/>
        <v>400</v>
      </c>
      <c r="AD68" s="193">
        <f t="shared" si="48"/>
        <v>400</v>
      </c>
      <c r="AE68" s="369">
        <f t="shared" si="48"/>
        <v>400</v>
      </c>
      <c r="AF68" s="73"/>
    </row>
    <row r="69" spans="1:32" s="83" customFormat="1" ht="12.75" customHeight="1">
      <c r="B69" s="40" t="s">
        <v>297</v>
      </c>
      <c r="C69" s="179"/>
      <c r="D69" s="179"/>
      <c r="E69" s="180"/>
      <c r="F69" s="180"/>
      <c r="G69" s="179"/>
      <c r="H69" s="180"/>
      <c r="I69" s="180"/>
      <c r="J69" s="348"/>
      <c r="K69" s="349"/>
      <c r="L69" s="352"/>
      <c r="M69" s="179"/>
      <c r="N69" s="179"/>
      <c r="O69" s="192"/>
      <c r="P69" s="351"/>
      <c r="Q69" s="352"/>
      <c r="R69" s="206"/>
      <c r="S69" s="206"/>
      <c r="T69" s="192"/>
      <c r="U69" s="380"/>
      <c r="V69" s="352"/>
      <c r="W69" s="206"/>
      <c r="X69" s="210">
        <v>200</v>
      </c>
      <c r="Y69" s="239">
        <v>400</v>
      </c>
      <c r="Z69" s="369">
        <f t="shared" si="48"/>
        <v>400</v>
      </c>
      <c r="AA69" s="350">
        <f t="shared" si="48"/>
        <v>400</v>
      </c>
      <c r="AB69" s="181">
        <f t="shared" si="48"/>
        <v>400</v>
      </c>
      <c r="AC69" s="181">
        <f t="shared" si="48"/>
        <v>400</v>
      </c>
      <c r="AD69" s="193">
        <f t="shared" si="48"/>
        <v>400</v>
      </c>
      <c r="AE69" s="369">
        <f t="shared" si="48"/>
        <v>400</v>
      </c>
      <c r="AF69" s="73"/>
    </row>
    <row r="70" spans="1:32" s="83" customFormat="1" ht="12.75" customHeight="1">
      <c r="A70" s="103"/>
      <c r="B70" s="40" t="s">
        <v>259</v>
      </c>
      <c r="C70" s="179"/>
      <c r="D70" s="179"/>
      <c r="E70" s="180"/>
      <c r="F70" s="180"/>
      <c r="G70" s="179"/>
      <c r="H70" s="180"/>
      <c r="I70" s="180"/>
      <c r="J70" s="348"/>
      <c r="K70" s="349"/>
      <c r="L70" s="352"/>
      <c r="M70" s="179"/>
      <c r="N70" s="179"/>
      <c r="O70" s="192"/>
      <c r="P70" s="369"/>
      <c r="Q70" s="350"/>
      <c r="R70" s="181"/>
      <c r="S70" s="181"/>
      <c r="T70" s="193"/>
      <c r="U70" s="369"/>
      <c r="V70" s="350"/>
      <c r="W70" s="181"/>
      <c r="X70" s="181"/>
      <c r="Y70" s="193"/>
      <c r="Z70" s="369"/>
      <c r="AA70" s="387">
        <v>200</v>
      </c>
      <c r="AB70" s="210">
        <v>400</v>
      </c>
      <c r="AC70" s="181">
        <f t="shared" si="48"/>
        <v>400</v>
      </c>
      <c r="AD70" s="193">
        <f t="shared" si="48"/>
        <v>400</v>
      </c>
      <c r="AE70" s="369">
        <f t="shared" si="48"/>
        <v>400</v>
      </c>
      <c r="AF70" s="73"/>
    </row>
    <row r="71" spans="1:32" s="83" customFormat="1" ht="12.75" customHeight="1" thickBot="1">
      <c r="B71" s="40" t="s">
        <v>258</v>
      </c>
      <c r="C71" s="179"/>
      <c r="D71" s="179"/>
      <c r="E71" s="180"/>
      <c r="F71" s="180"/>
      <c r="G71" s="179"/>
      <c r="H71" s="180"/>
      <c r="I71" s="180"/>
      <c r="J71" s="348"/>
      <c r="K71" s="349"/>
      <c r="L71" s="352"/>
      <c r="M71" s="179"/>
      <c r="N71" s="179"/>
      <c r="O71" s="192"/>
      <c r="P71" s="369"/>
      <c r="Q71" s="350"/>
      <c r="R71" s="181"/>
      <c r="S71" s="181"/>
      <c r="T71" s="193"/>
      <c r="U71" s="369"/>
      <c r="V71" s="350"/>
      <c r="W71" s="181"/>
      <c r="X71" s="181"/>
      <c r="Y71" s="193"/>
      <c r="Z71" s="369"/>
      <c r="AA71" s="350"/>
      <c r="AB71" s="181"/>
      <c r="AC71" s="181"/>
      <c r="AD71" s="239">
        <v>200</v>
      </c>
      <c r="AE71" s="385">
        <v>400</v>
      </c>
      <c r="AF71" s="73"/>
    </row>
    <row r="72" spans="1:32" s="96" customFormat="1" ht="12.75" customHeight="1" thickBot="1">
      <c r="B72" s="97" t="s">
        <v>9</v>
      </c>
      <c r="C72" s="198"/>
      <c r="D72" s="198">
        <f t="shared" ref="D72:AE72" si="49">SUM(D60:D71)</f>
        <v>792.30000000000007</v>
      </c>
      <c r="E72" s="199">
        <f t="shared" si="49"/>
        <v>1141.5</v>
      </c>
      <c r="F72" s="199">
        <f t="shared" si="49"/>
        <v>1141.5</v>
      </c>
      <c r="G72" s="199">
        <f t="shared" si="49"/>
        <v>1141.5</v>
      </c>
      <c r="H72" s="199">
        <f t="shared" si="49"/>
        <v>1141.5</v>
      </c>
      <c r="I72" s="199">
        <f t="shared" si="49"/>
        <v>1141.5</v>
      </c>
      <c r="J72" s="200">
        <f t="shared" si="49"/>
        <v>1548.2</v>
      </c>
      <c r="K72" s="372">
        <f t="shared" si="49"/>
        <v>1748.2</v>
      </c>
      <c r="L72" s="373">
        <f t="shared" si="49"/>
        <v>1948.2</v>
      </c>
      <c r="M72" s="199">
        <f t="shared" si="49"/>
        <v>2148.1999999999998</v>
      </c>
      <c r="N72" s="199">
        <f t="shared" si="49"/>
        <v>2148.1999999999998</v>
      </c>
      <c r="O72" s="200">
        <f t="shared" si="49"/>
        <v>2148.1999999999998</v>
      </c>
      <c r="P72" s="372">
        <f t="shared" si="49"/>
        <v>2148.1999999999998</v>
      </c>
      <c r="Q72" s="373">
        <f t="shared" si="49"/>
        <v>2148.1999999999998</v>
      </c>
      <c r="R72" s="199">
        <f t="shared" si="49"/>
        <v>2348.1999999999998</v>
      </c>
      <c r="S72" s="199">
        <f t="shared" si="49"/>
        <v>2388.1999999999998</v>
      </c>
      <c r="T72" s="200">
        <f t="shared" si="49"/>
        <v>2222.6000000000004</v>
      </c>
      <c r="U72" s="372">
        <f t="shared" si="49"/>
        <v>2422.6000000000004</v>
      </c>
      <c r="V72" s="373">
        <f t="shared" si="49"/>
        <v>2622.6000000000004</v>
      </c>
      <c r="W72" s="199">
        <f t="shared" si="49"/>
        <v>2622.6000000000004</v>
      </c>
      <c r="X72" s="199">
        <f t="shared" si="49"/>
        <v>2822.6000000000004</v>
      </c>
      <c r="Y72" s="200">
        <f t="shared" si="49"/>
        <v>3022.6000000000004</v>
      </c>
      <c r="Z72" s="372">
        <f t="shared" si="49"/>
        <v>2813.3</v>
      </c>
      <c r="AA72" s="373">
        <f t="shared" si="49"/>
        <v>2806.3</v>
      </c>
      <c r="AB72" s="199">
        <f t="shared" si="49"/>
        <v>3006.3</v>
      </c>
      <c r="AC72" s="199">
        <f t="shared" si="49"/>
        <v>3006.3</v>
      </c>
      <c r="AD72" s="200">
        <f t="shared" si="49"/>
        <v>2806.7</v>
      </c>
      <c r="AE72" s="372">
        <f t="shared" si="49"/>
        <v>3006.7</v>
      </c>
      <c r="AF72" s="74"/>
    </row>
    <row r="73" spans="1:32" s="35" customFormat="1" ht="12.75" customHeight="1"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</row>
    <row r="74" spans="1:32" s="35" customFormat="1" ht="12.75" customHeight="1">
      <c r="B74" s="390"/>
      <c r="C74" s="391"/>
      <c r="D74" s="391"/>
      <c r="E74" s="391"/>
      <c r="F74" s="391"/>
      <c r="G74" s="391"/>
      <c r="H74" s="391"/>
      <c r="I74" s="391"/>
      <c r="J74" s="391"/>
      <c r="K74" s="391"/>
      <c r="L74" s="391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</row>
    <row r="75" spans="1:32" s="35" customFormat="1" ht="15.75">
      <c r="B75" s="43" t="s">
        <v>184</v>
      </c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</row>
    <row r="76" spans="1:32" s="31" customFormat="1" ht="12.75" customHeight="1">
      <c r="B76" s="104"/>
      <c r="C76" s="170">
        <v>2012</v>
      </c>
      <c r="D76" s="170">
        <f t="shared" ref="D76:Z76" si="50">+D4</f>
        <v>2013</v>
      </c>
      <c r="E76" s="170">
        <f t="shared" si="50"/>
        <v>2014</v>
      </c>
      <c r="F76" s="170">
        <f t="shared" si="50"/>
        <v>2015</v>
      </c>
      <c r="G76" s="170">
        <f t="shared" si="50"/>
        <v>2016</v>
      </c>
      <c r="H76" s="170">
        <f t="shared" si="50"/>
        <v>2017</v>
      </c>
      <c r="I76" s="170">
        <f t="shared" si="50"/>
        <v>2018</v>
      </c>
      <c r="J76" s="238">
        <f t="shared" si="50"/>
        <v>2019</v>
      </c>
      <c r="K76" s="383">
        <f t="shared" si="50"/>
        <v>2020</v>
      </c>
      <c r="L76" s="384">
        <f t="shared" si="50"/>
        <v>2021</v>
      </c>
      <c r="M76" s="170">
        <f t="shared" si="50"/>
        <v>2022</v>
      </c>
      <c r="N76" s="170">
        <f t="shared" si="50"/>
        <v>2023</v>
      </c>
      <c r="O76" s="238">
        <f t="shared" si="50"/>
        <v>2024</v>
      </c>
      <c r="P76" s="383">
        <f t="shared" si="50"/>
        <v>2025</v>
      </c>
      <c r="Q76" s="384">
        <f t="shared" si="50"/>
        <v>2026</v>
      </c>
      <c r="R76" s="170">
        <f t="shared" si="50"/>
        <v>2027</v>
      </c>
      <c r="S76" s="170">
        <f t="shared" si="50"/>
        <v>2028</v>
      </c>
      <c r="T76" s="238">
        <f t="shared" si="50"/>
        <v>2029</v>
      </c>
      <c r="U76" s="383">
        <f t="shared" si="50"/>
        <v>2030</v>
      </c>
      <c r="V76" s="384">
        <f t="shared" si="50"/>
        <v>2031</v>
      </c>
      <c r="W76" s="170">
        <f t="shared" si="50"/>
        <v>2032</v>
      </c>
      <c r="X76" s="170">
        <f t="shared" si="50"/>
        <v>2033</v>
      </c>
      <c r="Y76" s="238">
        <f t="shared" si="50"/>
        <v>2034</v>
      </c>
      <c r="Z76" s="383">
        <f t="shared" si="50"/>
        <v>2035</v>
      </c>
      <c r="AA76" s="384">
        <v>2036</v>
      </c>
      <c r="AB76" s="170">
        <v>2037</v>
      </c>
      <c r="AC76" s="170">
        <v>2038</v>
      </c>
      <c r="AD76" s="238">
        <v>2039</v>
      </c>
      <c r="AE76" s="383">
        <v>2040</v>
      </c>
      <c r="AF76" s="32"/>
    </row>
    <row r="77" spans="1:32" s="96" customFormat="1" ht="12.75" customHeight="1">
      <c r="B77" s="102"/>
      <c r="C77" s="204"/>
      <c r="D77" s="204"/>
      <c r="E77" s="204"/>
      <c r="F77" s="204"/>
      <c r="G77" s="204"/>
      <c r="H77" s="204"/>
      <c r="I77" s="204"/>
      <c r="J77" s="204"/>
      <c r="K77" s="377"/>
      <c r="L77" s="204"/>
      <c r="M77" s="204"/>
      <c r="N77" s="204"/>
      <c r="O77" s="204"/>
      <c r="P77" s="377"/>
      <c r="Q77" s="204"/>
      <c r="R77" s="204"/>
      <c r="S77" s="204"/>
      <c r="T77" s="204"/>
      <c r="U77" s="377"/>
      <c r="V77" s="204"/>
      <c r="W77" s="204"/>
      <c r="X77" s="204"/>
      <c r="Y77" s="204"/>
      <c r="Z77" s="377"/>
      <c r="AA77" s="204"/>
      <c r="AB77" s="204"/>
      <c r="AC77" s="204"/>
      <c r="AD77" s="204"/>
      <c r="AE77" s="377"/>
      <c r="AF77" s="74"/>
    </row>
    <row r="78" spans="1:32" s="96" customFormat="1" ht="12.75" customHeight="1">
      <c r="B78" s="102" t="s">
        <v>185</v>
      </c>
      <c r="C78" s="204"/>
      <c r="D78" s="204"/>
      <c r="E78" s="204"/>
      <c r="F78" s="204"/>
      <c r="G78" s="204"/>
      <c r="H78" s="204"/>
      <c r="I78" s="204"/>
      <c r="J78" s="204"/>
      <c r="K78" s="377"/>
      <c r="L78" s="204"/>
      <c r="M78" s="204"/>
      <c r="N78" s="204"/>
      <c r="O78" s="204"/>
      <c r="P78" s="377"/>
      <c r="Q78" s="204"/>
      <c r="R78" s="204"/>
      <c r="S78" s="204"/>
      <c r="T78" s="204"/>
      <c r="U78" s="377"/>
      <c r="V78" s="204"/>
      <c r="W78" s="204"/>
      <c r="X78" s="204"/>
      <c r="Y78" s="204"/>
      <c r="Z78" s="377"/>
      <c r="AA78" s="204"/>
      <c r="AB78" s="204"/>
      <c r="AC78" s="204"/>
      <c r="AD78" s="204"/>
      <c r="AE78" s="377"/>
      <c r="AF78" s="74"/>
    </row>
    <row r="79" spans="1:32" s="96" customFormat="1" ht="12.75" customHeight="1">
      <c r="B79" s="105" t="s">
        <v>86</v>
      </c>
      <c r="C79" s="204"/>
      <c r="D79" s="204"/>
      <c r="E79" s="204"/>
      <c r="F79" s="204"/>
      <c r="G79" s="204"/>
      <c r="H79" s="204"/>
      <c r="I79" s="204"/>
      <c r="J79" s="204"/>
      <c r="K79" s="377"/>
      <c r="L79" s="204"/>
      <c r="M79" s="204"/>
      <c r="N79" s="204"/>
      <c r="O79" s="204"/>
      <c r="P79" s="377"/>
      <c r="Q79" s="204"/>
      <c r="R79" s="204"/>
      <c r="S79" s="204"/>
      <c r="T79" s="204"/>
      <c r="U79" s="377"/>
      <c r="V79" s="204"/>
      <c r="W79" s="204"/>
      <c r="X79" s="204"/>
      <c r="Y79" s="204"/>
      <c r="Z79" s="377"/>
      <c r="AA79" s="204"/>
      <c r="AB79" s="204"/>
      <c r="AC79" s="204"/>
      <c r="AD79" s="204"/>
      <c r="AE79" s="377"/>
      <c r="AF79" s="74"/>
    </row>
    <row r="80" spans="1:32" s="96" customFormat="1" ht="12.75" customHeight="1">
      <c r="B80" s="106" t="s">
        <v>78</v>
      </c>
      <c r="C80" s="204"/>
      <c r="D80" s="210">
        <v>1850</v>
      </c>
      <c r="E80" s="212">
        <f>D80</f>
        <v>1850</v>
      </c>
      <c r="F80" s="212">
        <f t="shared" ref="F80:U83" si="51">E80</f>
        <v>1850</v>
      </c>
      <c r="G80" s="212">
        <f t="shared" si="51"/>
        <v>1850</v>
      </c>
      <c r="H80" s="212">
        <f t="shared" si="51"/>
        <v>1850</v>
      </c>
      <c r="I80" s="212">
        <f t="shared" si="51"/>
        <v>1850</v>
      </c>
      <c r="J80" s="212">
        <f t="shared" si="51"/>
        <v>1850</v>
      </c>
      <c r="K80" s="392">
        <f t="shared" si="51"/>
        <v>1850</v>
      </c>
      <c r="L80" s="212">
        <f t="shared" si="51"/>
        <v>1850</v>
      </c>
      <c r="M80" s="212">
        <f t="shared" si="51"/>
        <v>1850</v>
      </c>
      <c r="N80" s="212">
        <f t="shared" si="51"/>
        <v>1850</v>
      </c>
      <c r="O80" s="212">
        <f t="shared" si="51"/>
        <v>1850</v>
      </c>
      <c r="P80" s="392">
        <f t="shared" si="51"/>
        <v>1850</v>
      </c>
      <c r="Q80" s="212">
        <f t="shared" si="51"/>
        <v>1850</v>
      </c>
      <c r="R80" s="212">
        <f t="shared" si="51"/>
        <v>1850</v>
      </c>
      <c r="S80" s="212">
        <f t="shared" si="51"/>
        <v>1850</v>
      </c>
      <c r="T80" s="212">
        <f t="shared" si="51"/>
        <v>1850</v>
      </c>
      <c r="U80" s="392">
        <f t="shared" si="51"/>
        <v>1850</v>
      </c>
      <c r="V80" s="212">
        <f t="shared" ref="V80:AE83" si="52">U80</f>
        <v>1850</v>
      </c>
      <c r="W80" s="212">
        <f t="shared" si="52"/>
        <v>1850</v>
      </c>
      <c r="X80" s="212">
        <f t="shared" si="52"/>
        <v>1850</v>
      </c>
      <c r="Y80" s="212">
        <f t="shared" si="52"/>
        <v>1850</v>
      </c>
      <c r="Z80" s="392">
        <f t="shared" si="52"/>
        <v>1850</v>
      </c>
      <c r="AA80" s="212">
        <f t="shared" si="52"/>
        <v>1850</v>
      </c>
      <c r="AB80" s="212">
        <f t="shared" si="52"/>
        <v>1850</v>
      </c>
      <c r="AC80" s="212">
        <f t="shared" si="52"/>
        <v>1850</v>
      </c>
      <c r="AD80" s="212">
        <f t="shared" si="52"/>
        <v>1850</v>
      </c>
      <c r="AE80" s="392">
        <f t="shared" si="52"/>
        <v>1850</v>
      </c>
      <c r="AF80" s="74"/>
    </row>
    <row r="81" spans="2:32" s="96" customFormat="1" ht="12.75" customHeight="1">
      <c r="B81" s="106" t="s">
        <v>186</v>
      </c>
      <c r="C81" s="204"/>
      <c r="D81" s="210">
        <v>2700</v>
      </c>
      <c r="E81" s="212">
        <f>D81</f>
        <v>2700</v>
      </c>
      <c r="F81" s="212">
        <f t="shared" si="51"/>
        <v>2700</v>
      </c>
      <c r="G81" s="212">
        <f t="shared" si="51"/>
        <v>2700</v>
      </c>
      <c r="H81" s="212">
        <f t="shared" si="51"/>
        <v>2700</v>
      </c>
      <c r="I81" s="212">
        <f t="shared" si="51"/>
        <v>2700</v>
      </c>
      <c r="J81" s="212">
        <f t="shared" si="51"/>
        <v>2700</v>
      </c>
      <c r="K81" s="392">
        <f t="shared" si="51"/>
        <v>2700</v>
      </c>
      <c r="L81" s="212">
        <f t="shared" si="51"/>
        <v>2700</v>
      </c>
      <c r="M81" s="212">
        <f t="shared" si="51"/>
        <v>2700</v>
      </c>
      <c r="N81" s="212">
        <f t="shared" si="51"/>
        <v>2700</v>
      </c>
      <c r="O81" s="212">
        <f t="shared" si="51"/>
        <v>2700</v>
      </c>
      <c r="P81" s="392">
        <f t="shared" si="51"/>
        <v>2700</v>
      </c>
      <c r="Q81" s="212">
        <f t="shared" si="51"/>
        <v>2700</v>
      </c>
      <c r="R81" s="212">
        <f t="shared" si="51"/>
        <v>2700</v>
      </c>
      <c r="S81" s="212">
        <f t="shared" si="51"/>
        <v>2700</v>
      </c>
      <c r="T81" s="212">
        <f t="shared" si="51"/>
        <v>2700</v>
      </c>
      <c r="U81" s="392">
        <f t="shared" si="51"/>
        <v>2700</v>
      </c>
      <c r="V81" s="212">
        <f t="shared" si="52"/>
        <v>2700</v>
      </c>
      <c r="W81" s="212">
        <f t="shared" si="52"/>
        <v>2700</v>
      </c>
      <c r="X81" s="212">
        <f t="shared" si="52"/>
        <v>2700</v>
      </c>
      <c r="Y81" s="212">
        <f t="shared" si="52"/>
        <v>2700</v>
      </c>
      <c r="Z81" s="392">
        <f t="shared" si="52"/>
        <v>2700</v>
      </c>
      <c r="AA81" s="212">
        <f t="shared" si="52"/>
        <v>2700</v>
      </c>
      <c r="AB81" s="212">
        <f t="shared" si="52"/>
        <v>2700</v>
      </c>
      <c r="AC81" s="212">
        <f t="shared" si="52"/>
        <v>2700</v>
      </c>
      <c r="AD81" s="212">
        <f t="shared" si="52"/>
        <v>2700</v>
      </c>
      <c r="AE81" s="392">
        <f t="shared" si="52"/>
        <v>2700</v>
      </c>
      <c r="AF81" s="74"/>
    </row>
    <row r="82" spans="2:32" s="96" customFormat="1" ht="12.75" customHeight="1">
      <c r="B82" s="106" t="s">
        <v>215</v>
      </c>
      <c r="C82" s="204"/>
      <c r="D82" s="204"/>
      <c r="E82" s="210">
        <v>3000</v>
      </c>
      <c r="F82" s="212">
        <f t="shared" si="51"/>
        <v>3000</v>
      </c>
      <c r="G82" s="212">
        <f t="shared" si="51"/>
        <v>3000</v>
      </c>
      <c r="H82" s="212">
        <f t="shared" si="51"/>
        <v>3000</v>
      </c>
      <c r="I82" s="212">
        <f t="shared" si="51"/>
        <v>3000</v>
      </c>
      <c r="J82" s="212">
        <f t="shared" si="51"/>
        <v>3000</v>
      </c>
      <c r="K82" s="392">
        <f t="shared" si="51"/>
        <v>3000</v>
      </c>
      <c r="L82" s="212">
        <f t="shared" si="51"/>
        <v>3000</v>
      </c>
      <c r="M82" s="212">
        <f t="shared" si="51"/>
        <v>3000</v>
      </c>
      <c r="N82" s="212">
        <f t="shared" si="51"/>
        <v>3000</v>
      </c>
      <c r="O82" s="212">
        <f t="shared" si="51"/>
        <v>3000</v>
      </c>
      <c r="P82" s="392">
        <f t="shared" si="51"/>
        <v>3000</v>
      </c>
      <c r="Q82" s="212">
        <f t="shared" si="51"/>
        <v>3000</v>
      </c>
      <c r="R82" s="212">
        <f t="shared" si="51"/>
        <v>3000</v>
      </c>
      <c r="S82" s="212">
        <f t="shared" si="51"/>
        <v>3000</v>
      </c>
      <c r="T82" s="212">
        <f t="shared" si="51"/>
        <v>3000</v>
      </c>
      <c r="U82" s="392">
        <f t="shared" si="51"/>
        <v>3000</v>
      </c>
      <c r="V82" s="212">
        <f t="shared" si="52"/>
        <v>3000</v>
      </c>
      <c r="W82" s="212">
        <f t="shared" si="52"/>
        <v>3000</v>
      </c>
      <c r="X82" s="212">
        <f t="shared" si="52"/>
        <v>3000</v>
      </c>
      <c r="Y82" s="212">
        <f t="shared" si="52"/>
        <v>3000</v>
      </c>
      <c r="Z82" s="392">
        <f t="shared" si="52"/>
        <v>3000</v>
      </c>
      <c r="AA82" s="212">
        <f t="shared" si="52"/>
        <v>3000</v>
      </c>
      <c r="AB82" s="212">
        <f t="shared" si="52"/>
        <v>3000</v>
      </c>
      <c r="AC82" s="212">
        <f t="shared" si="52"/>
        <v>3000</v>
      </c>
      <c r="AD82" s="212">
        <f t="shared" si="52"/>
        <v>3000</v>
      </c>
      <c r="AE82" s="392">
        <f t="shared" si="52"/>
        <v>3000</v>
      </c>
      <c r="AF82" s="74"/>
    </row>
    <row r="83" spans="2:32" s="96" customFormat="1" ht="12.75" customHeight="1">
      <c r="B83" s="106" t="s">
        <v>121</v>
      </c>
      <c r="C83" s="204"/>
      <c r="D83" s="204"/>
      <c r="E83" s="204"/>
      <c r="F83" s="204"/>
      <c r="G83" s="204"/>
      <c r="H83" s="204"/>
      <c r="I83" s="204"/>
      <c r="J83" s="204"/>
      <c r="K83" s="385">
        <v>3150</v>
      </c>
      <c r="L83" s="212">
        <f t="shared" si="51"/>
        <v>3150</v>
      </c>
      <c r="M83" s="212">
        <f t="shared" si="51"/>
        <v>3150</v>
      </c>
      <c r="N83" s="212">
        <f t="shared" si="51"/>
        <v>3150</v>
      </c>
      <c r="O83" s="212">
        <f t="shared" si="51"/>
        <v>3150</v>
      </c>
      <c r="P83" s="392">
        <f t="shared" si="51"/>
        <v>3150</v>
      </c>
      <c r="Q83" s="212">
        <f t="shared" si="51"/>
        <v>3150</v>
      </c>
      <c r="R83" s="212">
        <f t="shared" si="51"/>
        <v>3150</v>
      </c>
      <c r="S83" s="212">
        <f t="shared" si="51"/>
        <v>3150</v>
      </c>
      <c r="T83" s="212">
        <f t="shared" si="51"/>
        <v>3150</v>
      </c>
      <c r="U83" s="392">
        <f t="shared" si="51"/>
        <v>3150</v>
      </c>
      <c r="V83" s="212">
        <f t="shared" si="52"/>
        <v>3150</v>
      </c>
      <c r="W83" s="212">
        <f t="shared" si="52"/>
        <v>3150</v>
      </c>
      <c r="X83" s="212">
        <f t="shared" si="52"/>
        <v>3150</v>
      </c>
      <c r="Y83" s="212">
        <f t="shared" si="52"/>
        <v>3150</v>
      </c>
      <c r="Z83" s="392">
        <f t="shared" si="52"/>
        <v>3150</v>
      </c>
      <c r="AA83" s="212">
        <f t="shared" si="52"/>
        <v>3150</v>
      </c>
      <c r="AB83" s="212">
        <f t="shared" si="52"/>
        <v>3150</v>
      </c>
      <c r="AC83" s="212">
        <f t="shared" si="52"/>
        <v>3150</v>
      </c>
      <c r="AD83" s="212">
        <f t="shared" si="52"/>
        <v>3150</v>
      </c>
      <c r="AE83" s="392">
        <f t="shared" si="52"/>
        <v>3150</v>
      </c>
      <c r="AF83" s="74"/>
    </row>
    <row r="84" spans="2:32" s="96" customFormat="1" ht="12.75" customHeight="1">
      <c r="B84" s="105" t="s">
        <v>87</v>
      </c>
      <c r="C84" s="204"/>
      <c r="D84" s="204"/>
      <c r="E84" s="204"/>
      <c r="F84" s="204"/>
      <c r="G84" s="204"/>
      <c r="H84" s="204"/>
      <c r="I84" s="204"/>
      <c r="J84" s="204"/>
      <c r="K84" s="377"/>
      <c r="L84" s="204"/>
      <c r="M84" s="204"/>
      <c r="N84" s="204"/>
      <c r="O84" s="204"/>
      <c r="P84" s="377"/>
      <c r="Q84" s="204"/>
      <c r="R84" s="204"/>
      <c r="S84" s="204"/>
      <c r="T84" s="204"/>
      <c r="U84" s="377"/>
      <c r="V84" s="204"/>
      <c r="W84" s="204"/>
      <c r="X84" s="204"/>
      <c r="Y84" s="204"/>
      <c r="Z84" s="377"/>
      <c r="AA84" s="204"/>
      <c r="AB84" s="204"/>
      <c r="AC84" s="204"/>
      <c r="AD84" s="204"/>
      <c r="AE84" s="393"/>
      <c r="AF84" s="74"/>
    </row>
    <row r="85" spans="2:32" s="96" customFormat="1" ht="12.75" customHeight="1">
      <c r="B85" s="106" t="s">
        <v>78</v>
      </c>
      <c r="C85" s="204"/>
      <c r="D85" s="210">
        <v>1950</v>
      </c>
      <c r="E85" s="212">
        <f>D85</f>
        <v>1950</v>
      </c>
      <c r="F85" s="212">
        <f t="shared" ref="F85:U88" si="53">E85</f>
        <v>1950</v>
      </c>
      <c r="G85" s="212">
        <f t="shared" si="53"/>
        <v>1950</v>
      </c>
      <c r="H85" s="212">
        <f t="shared" si="53"/>
        <v>1950</v>
      </c>
      <c r="I85" s="212">
        <f t="shared" si="53"/>
        <v>1950</v>
      </c>
      <c r="J85" s="212">
        <f t="shared" si="53"/>
        <v>1950</v>
      </c>
      <c r="K85" s="392">
        <f t="shared" si="53"/>
        <v>1950</v>
      </c>
      <c r="L85" s="212">
        <f t="shared" si="53"/>
        <v>1950</v>
      </c>
      <c r="M85" s="212">
        <f t="shared" si="53"/>
        <v>1950</v>
      </c>
      <c r="N85" s="212">
        <f t="shared" si="53"/>
        <v>1950</v>
      </c>
      <c r="O85" s="212">
        <f t="shared" si="53"/>
        <v>1950</v>
      </c>
      <c r="P85" s="392">
        <f t="shared" si="53"/>
        <v>1950</v>
      </c>
      <c r="Q85" s="212">
        <f t="shared" si="53"/>
        <v>1950</v>
      </c>
      <c r="R85" s="212">
        <f t="shared" si="53"/>
        <v>1950</v>
      </c>
      <c r="S85" s="212">
        <f t="shared" si="53"/>
        <v>1950</v>
      </c>
      <c r="T85" s="212">
        <f t="shared" si="53"/>
        <v>1950</v>
      </c>
      <c r="U85" s="392">
        <f t="shared" si="53"/>
        <v>1950</v>
      </c>
      <c r="V85" s="212">
        <f t="shared" ref="V85:AE88" si="54">U85</f>
        <v>1950</v>
      </c>
      <c r="W85" s="212">
        <f t="shared" si="54"/>
        <v>1950</v>
      </c>
      <c r="X85" s="212">
        <f t="shared" si="54"/>
        <v>1950</v>
      </c>
      <c r="Y85" s="212">
        <f t="shared" si="54"/>
        <v>1950</v>
      </c>
      <c r="Z85" s="392">
        <f t="shared" si="54"/>
        <v>1950</v>
      </c>
      <c r="AA85" s="212">
        <f t="shared" si="54"/>
        <v>1950</v>
      </c>
      <c r="AB85" s="212">
        <f t="shared" si="54"/>
        <v>1950</v>
      </c>
      <c r="AC85" s="212">
        <f t="shared" si="54"/>
        <v>1950</v>
      </c>
      <c r="AD85" s="212">
        <f t="shared" si="54"/>
        <v>1950</v>
      </c>
      <c r="AE85" s="392">
        <f t="shared" si="54"/>
        <v>1950</v>
      </c>
      <c r="AF85" s="74"/>
    </row>
    <row r="86" spans="2:32" s="96" customFormat="1" ht="12.75" customHeight="1">
      <c r="B86" s="106" t="s">
        <v>186</v>
      </c>
      <c r="C86" s="204"/>
      <c r="D86" s="210">
        <v>2950</v>
      </c>
      <c r="E86" s="212">
        <f>D86</f>
        <v>2950</v>
      </c>
      <c r="F86" s="212">
        <f t="shared" si="53"/>
        <v>2950</v>
      </c>
      <c r="G86" s="212">
        <f t="shared" si="53"/>
        <v>2950</v>
      </c>
      <c r="H86" s="212">
        <f t="shared" si="53"/>
        <v>2950</v>
      </c>
      <c r="I86" s="212">
        <f t="shared" si="53"/>
        <v>2950</v>
      </c>
      <c r="J86" s="212">
        <f t="shared" si="53"/>
        <v>2950</v>
      </c>
      <c r="K86" s="392">
        <f t="shared" si="53"/>
        <v>2950</v>
      </c>
      <c r="L86" s="212">
        <f t="shared" si="53"/>
        <v>2950</v>
      </c>
      <c r="M86" s="212">
        <f t="shared" si="53"/>
        <v>2950</v>
      </c>
      <c r="N86" s="212">
        <f t="shared" si="53"/>
        <v>2950</v>
      </c>
      <c r="O86" s="212">
        <f t="shared" si="53"/>
        <v>2950</v>
      </c>
      <c r="P86" s="392">
        <f t="shared" si="53"/>
        <v>2950</v>
      </c>
      <c r="Q86" s="212">
        <f t="shared" si="53"/>
        <v>2950</v>
      </c>
      <c r="R86" s="212">
        <f t="shared" si="53"/>
        <v>2950</v>
      </c>
      <c r="S86" s="212">
        <f t="shared" si="53"/>
        <v>2950</v>
      </c>
      <c r="T86" s="212">
        <f t="shared" si="53"/>
        <v>2950</v>
      </c>
      <c r="U86" s="392">
        <f t="shared" si="53"/>
        <v>2950</v>
      </c>
      <c r="V86" s="212">
        <f t="shared" si="54"/>
        <v>2950</v>
      </c>
      <c r="W86" s="212">
        <f t="shared" si="54"/>
        <v>2950</v>
      </c>
      <c r="X86" s="212">
        <f t="shared" si="54"/>
        <v>2950</v>
      </c>
      <c r="Y86" s="212">
        <f t="shared" si="54"/>
        <v>2950</v>
      </c>
      <c r="Z86" s="392">
        <f t="shared" si="54"/>
        <v>2950</v>
      </c>
      <c r="AA86" s="212">
        <f t="shared" si="54"/>
        <v>2950</v>
      </c>
      <c r="AB86" s="212">
        <f t="shared" si="54"/>
        <v>2950</v>
      </c>
      <c r="AC86" s="212">
        <f t="shared" si="54"/>
        <v>2950</v>
      </c>
      <c r="AD86" s="212">
        <f t="shared" si="54"/>
        <v>2950</v>
      </c>
      <c r="AE86" s="392">
        <f t="shared" si="54"/>
        <v>2950</v>
      </c>
      <c r="AF86" s="74"/>
    </row>
    <row r="87" spans="2:32" s="96" customFormat="1" ht="12.75" customHeight="1">
      <c r="B87" s="106" t="s">
        <v>215</v>
      </c>
      <c r="C87" s="204"/>
      <c r="D87" s="204"/>
      <c r="E87" s="210">
        <v>3150</v>
      </c>
      <c r="F87" s="212">
        <f t="shared" si="53"/>
        <v>3150</v>
      </c>
      <c r="G87" s="212">
        <f t="shared" si="53"/>
        <v>3150</v>
      </c>
      <c r="H87" s="212">
        <f t="shared" si="53"/>
        <v>3150</v>
      </c>
      <c r="I87" s="212">
        <f t="shared" si="53"/>
        <v>3150</v>
      </c>
      <c r="J87" s="212">
        <f t="shared" si="53"/>
        <v>3150</v>
      </c>
      <c r="K87" s="392">
        <f t="shared" si="53"/>
        <v>3150</v>
      </c>
      <c r="L87" s="212">
        <f t="shared" si="53"/>
        <v>3150</v>
      </c>
      <c r="M87" s="212">
        <f t="shared" si="53"/>
        <v>3150</v>
      </c>
      <c r="N87" s="212">
        <f t="shared" si="53"/>
        <v>3150</v>
      </c>
      <c r="O87" s="212">
        <f t="shared" si="53"/>
        <v>3150</v>
      </c>
      <c r="P87" s="392">
        <f t="shared" si="53"/>
        <v>3150</v>
      </c>
      <c r="Q87" s="212">
        <f t="shared" si="53"/>
        <v>3150</v>
      </c>
      <c r="R87" s="212">
        <f t="shared" si="53"/>
        <v>3150</v>
      </c>
      <c r="S87" s="212">
        <f t="shared" si="53"/>
        <v>3150</v>
      </c>
      <c r="T87" s="212">
        <f t="shared" si="53"/>
        <v>3150</v>
      </c>
      <c r="U87" s="392">
        <f t="shared" si="53"/>
        <v>3150</v>
      </c>
      <c r="V87" s="212">
        <f t="shared" si="54"/>
        <v>3150</v>
      </c>
      <c r="W87" s="212">
        <f t="shared" si="54"/>
        <v>3150</v>
      </c>
      <c r="X87" s="212">
        <f t="shared" si="54"/>
        <v>3150</v>
      </c>
      <c r="Y87" s="212">
        <f t="shared" si="54"/>
        <v>3150</v>
      </c>
      <c r="Z87" s="392">
        <f t="shared" si="54"/>
        <v>3150</v>
      </c>
      <c r="AA87" s="212">
        <f t="shared" si="54"/>
        <v>3150</v>
      </c>
      <c r="AB87" s="212">
        <f t="shared" si="54"/>
        <v>3150</v>
      </c>
      <c r="AC87" s="212">
        <f t="shared" si="54"/>
        <v>3150</v>
      </c>
      <c r="AD87" s="212">
        <f t="shared" si="54"/>
        <v>3150</v>
      </c>
      <c r="AE87" s="392">
        <f t="shared" si="54"/>
        <v>3150</v>
      </c>
      <c r="AF87" s="74"/>
    </row>
    <row r="88" spans="2:32" s="96" customFormat="1" ht="12.75" customHeight="1">
      <c r="B88" s="106" t="s">
        <v>121</v>
      </c>
      <c r="C88" s="204"/>
      <c r="D88" s="204"/>
      <c r="E88" s="204"/>
      <c r="F88" s="204"/>
      <c r="G88" s="204"/>
      <c r="H88" s="204"/>
      <c r="I88" s="204"/>
      <c r="J88" s="204"/>
      <c r="K88" s="385">
        <v>3300</v>
      </c>
      <c r="L88" s="212">
        <f t="shared" si="53"/>
        <v>3300</v>
      </c>
      <c r="M88" s="212">
        <f t="shared" si="53"/>
        <v>3300</v>
      </c>
      <c r="N88" s="212">
        <f t="shared" si="53"/>
        <v>3300</v>
      </c>
      <c r="O88" s="212">
        <f t="shared" si="53"/>
        <v>3300</v>
      </c>
      <c r="P88" s="392">
        <f t="shared" si="53"/>
        <v>3300</v>
      </c>
      <c r="Q88" s="212">
        <f t="shared" si="53"/>
        <v>3300</v>
      </c>
      <c r="R88" s="212">
        <f t="shared" si="53"/>
        <v>3300</v>
      </c>
      <c r="S88" s="212">
        <f t="shared" si="53"/>
        <v>3300</v>
      </c>
      <c r="T88" s="212">
        <f t="shared" si="53"/>
        <v>3300</v>
      </c>
      <c r="U88" s="392">
        <f t="shared" si="53"/>
        <v>3300</v>
      </c>
      <c r="V88" s="212">
        <f t="shared" si="54"/>
        <v>3300</v>
      </c>
      <c r="W88" s="212">
        <f t="shared" si="54"/>
        <v>3300</v>
      </c>
      <c r="X88" s="212">
        <f t="shared" si="54"/>
        <v>3300</v>
      </c>
      <c r="Y88" s="212">
        <f t="shared" si="54"/>
        <v>3300</v>
      </c>
      <c r="Z88" s="392">
        <f t="shared" si="54"/>
        <v>3300</v>
      </c>
      <c r="AA88" s="212">
        <f t="shared" si="54"/>
        <v>3300</v>
      </c>
      <c r="AB88" s="212">
        <f t="shared" si="54"/>
        <v>3300</v>
      </c>
      <c r="AC88" s="212">
        <f t="shared" si="54"/>
        <v>3300</v>
      </c>
      <c r="AD88" s="212">
        <f t="shared" si="54"/>
        <v>3300</v>
      </c>
      <c r="AE88" s="392">
        <f t="shared" si="54"/>
        <v>3300</v>
      </c>
      <c r="AF88" s="74"/>
    </row>
    <row r="89" spans="2:32" s="96" customFormat="1" ht="12.75" customHeight="1">
      <c r="B89" s="107"/>
      <c r="C89" s="204"/>
      <c r="D89" s="204"/>
      <c r="E89" s="204"/>
      <c r="F89" s="204"/>
      <c r="G89" s="204"/>
      <c r="H89" s="204"/>
      <c r="I89" s="204"/>
      <c r="J89" s="204"/>
      <c r="K89" s="377"/>
      <c r="L89" s="204"/>
      <c r="M89" s="204"/>
      <c r="N89" s="204"/>
      <c r="O89" s="204"/>
      <c r="P89" s="377"/>
      <c r="Q89" s="204"/>
      <c r="R89" s="204"/>
      <c r="S89" s="204"/>
      <c r="T89" s="204"/>
      <c r="U89" s="377"/>
      <c r="V89" s="204"/>
      <c r="W89" s="204"/>
      <c r="X89" s="204"/>
      <c r="Y89" s="204"/>
      <c r="Z89" s="377"/>
      <c r="AA89" s="204"/>
      <c r="AB89" s="204"/>
      <c r="AC89" s="204"/>
      <c r="AD89" s="204"/>
      <c r="AE89" s="393"/>
      <c r="AF89" s="74"/>
    </row>
    <row r="90" spans="2:32" s="96" customFormat="1" ht="12.75" customHeight="1">
      <c r="B90" s="102" t="s">
        <v>187</v>
      </c>
      <c r="C90" s="204"/>
      <c r="D90" s="204"/>
      <c r="E90" s="204"/>
      <c r="F90" s="204"/>
      <c r="G90" s="204"/>
      <c r="H90" s="204"/>
      <c r="I90" s="204"/>
      <c r="J90" s="204"/>
      <c r="K90" s="377"/>
      <c r="L90" s="204"/>
      <c r="M90" s="204"/>
      <c r="N90" s="204"/>
      <c r="O90" s="204"/>
      <c r="P90" s="377"/>
      <c r="Q90" s="204"/>
      <c r="R90" s="204"/>
      <c r="S90" s="204"/>
      <c r="T90" s="204"/>
      <c r="U90" s="377"/>
      <c r="V90" s="204"/>
      <c r="W90" s="204"/>
      <c r="X90" s="204"/>
      <c r="Y90" s="204"/>
      <c r="Z90" s="377"/>
      <c r="AA90" s="204"/>
      <c r="AB90" s="204"/>
      <c r="AC90" s="204"/>
      <c r="AD90" s="204"/>
      <c r="AE90" s="393"/>
      <c r="AF90" s="74"/>
    </row>
    <row r="91" spans="2:32" s="96" customFormat="1" ht="12.75" customHeight="1">
      <c r="B91" s="105" t="s">
        <v>86</v>
      </c>
      <c r="C91" s="204"/>
      <c r="D91" s="204"/>
      <c r="E91" s="204"/>
      <c r="F91" s="204"/>
      <c r="G91" s="204"/>
      <c r="H91" s="204"/>
      <c r="I91" s="204"/>
      <c r="J91" s="204"/>
      <c r="K91" s="377"/>
      <c r="L91" s="204"/>
      <c r="M91" s="204"/>
      <c r="N91" s="204"/>
      <c r="O91" s="204"/>
      <c r="P91" s="377"/>
      <c r="Q91" s="204"/>
      <c r="R91" s="204"/>
      <c r="S91" s="204"/>
      <c r="T91" s="204"/>
      <c r="U91" s="377"/>
      <c r="V91" s="204"/>
      <c r="W91" s="204"/>
      <c r="X91" s="204"/>
      <c r="Y91" s="204"/>
      <c r="Z91" s="377"/>
      <c r="AA91" s="204"/>
      <c r="AB91" s="204"/>
      <c r="AC91" s="204"/>
      <c r="AD91" s="204"/>
      <c r="AE91" s="393"/>
      <c r="AF91" s="74"/>
    </row>
    <row r="92" spans="2:32" s="96" customFormat="1" ht="12.75" customHeight="1">
      <c r="B92" s="106" t="s">
        <v>78</v>
      </c>
      <c r="C92" s="204"/>
      <c r="D92" s="184">
        <f t="shared" ref="D92:AE92" si="55">+D9*D80/1000</f>
        <v>916.49</v>
      </c>
      <c r="E92" s="184">
        <f t="shared" si="55"/>
        <v>915.47249999999997</v>
      </c>
      <c r="F92" s="184">
        <f t="shared" si="55"/>
        <v>908.53499999999997</v>
      </c>
      <c r="G92" s="184">
        <f t="shared" si="55"/>
        <v>866.54</v>
      </c>
      <c r="H92" s="184">
        <f t="shared" si="55"/>
        <v>826.74403333333328</v>
      </c>
      <c r="I92" s="184">
        <f t="shared" si="55"/>
        <v>788.20606666666663</v>
      </c>
      <c r="J92" s="184">
        <f t="shared" si="55"/>
        <v>749.66809999999998</v>
      </c>
      <c r="K92" s="356">
        <f t="shared" si="55"/>
        <v>711.13013333333345</v>
      </c>
      <c r="L92" s="184">
        <f t="shared" si="55"/>
        <v>664.87634523809527</v>
      </c>
      <c r="M92" s="184">
        <f t="shared" si="55"/>
        <v>618.62255714285709</v>
      </c>
      <c r="N92" s="184">
        <f t="shared" si="55"/>
        <v>568.47275714285718</v>
      </c>
      <c r="O92" s="184">
        <f t="shared" si="55"/>
        <v>518.32295714285715</v>
      </c>
      <c r="P92" s="356">
        <f t="shared" si="55"/>
        <v>468.17315714285718</v>
      </c>
      <c r="Q92" s="184">
        <f t="shared" si="55"/>
        <v>418.02335714285721</v>
      </c>
      <c r="R92" s="184">
        <f t="shared" si="55"/>
        <v>358.30573469387758</v>
      </c>
      <c r="S92" s="184">
        <f t="shared" si="55"/>
        <v>298.58811224489801</v>
      </c>
      <c r="T92" s="184">
        <f t="shared" si="55"/>
        <v>238.8704897959183</v>
      </c>
      <c r="U92" s="356">
        <f t="shared" si="55"/>
        <v>179.15286734693873</v>
      </c>
      <c r="V92" s="184">
        <f t="shared" si="55"/>
        <v>119.43524489795911</v>
      </c>
      <c r="W92" s="184">
        <f t="shared" si="55"/>
        <v>59.717622448979505</v>
      </c>
      <c r="X92" s="184">
        <f t="shared" si="55"/>
        <v>-1.0516032489249483E-13</v>
      </c>
      <c r="Y92" s="184">
        <f t="shared" si="55"/>
        <v>0</v>
      </c>
      <c r="Z92" s="356">
        <f t="shared" si="55"/>
        <v>0</v>
      </c>
      <c r="AA92" s="184">
        <f t="shared" si="55"/>
        <v>0</v>
      </c>
      <c r="AB92" s="184">
        <f t="shared" si="55"/>
        <v>0</v>
      </c>
      <c r="AC92" s="184">
        <f t="shared" si="55"/>
        <v>0</v>
      </c>
      <c r="AD92" s="184">
        <f t="shared" si="55"/>
        <v>0</v>
      </c>
      <c r="AE92" s="356">
        <f t="shared" si="55"/>
        <v>0</v>
      </c>
      <c r="AF92" s="74"/>
    </row>
    <row r="93" spans="2:32" s="96" customFormat="1" ht="12.75" customHeight="1">
      <c r="B93" s="106" t="s">
        <v>186</v>
      </c>
      <c r="C93" s="204"/>
      <c r="D93" s="184">
        <f t="shared" ref="D93:AE93" si="56">+D10*D81/1000</f>
        <v>219.78000000000003</v>
      </c>
      <c r="E93" s="184">
        <f t="shared" si="56"/>
        <v>248.66999999999996</v>
      </c>
      <c r="F93" s="184">
        <f t="shared" si="56"/>
        <v>248.66999999999996</v>
      </c>
      <c r="G93" s="184">
        <f t="shared" si="56"/>
        <v>248.66999999999996</v>
      </c>
      <c r="H93" s="184">
        <f t="shared" si="56"/>
        <v>248.66999999999996</v>
      </c>
      <c r="I93" s="184">
        <f t="shared" si="56"/>
        <v>248.66999999999996</v>
      </c>
      <c r="J93" s="184">
        <f t="shared" si="56"/>
        <v>248.66999999999996</v>
      </c>
      <c r="K93" s="356">
        <f t="shared" si="56"/>
        <v>248.66999999999996</v>
      </c>
      <c r="L93" s="184">
        <f t="shared" si="56"/>
        <v>248.66999999999996</v>
      </c>
      <c r="M93" s="184">
        <f t="shared" si="56"/>
        <v>248.66999999999996</v>
      </c>
      <c r="N93" s="184">
        <f t="shared" si="56"/>
        <v>248.66999999999996</v>
      </c>
      <c r="O93" s="184">
        <f t="shared" si="56"/>
        <v>248.66999999999996</v>
      </c>
      <c r="P93" s="356">
        <f t="shared" si="56"/>
        <v>248.66999999999996</v>
      </c>
      <c r="Q93" s="184">
        <f t="shared" si="56"/>
        <v>248.66999999999996</v>
      </c>
      <c r="R93" s="184">
        <f t="shared" si="56"/>
        <v>248.66999999999996</v>
      </c>
      <c r="S93" s="184">
        <f t="shared" si="56"/>
        <v>248.66999999999996</v>
      </c>
      <c r="T93" s="184">
        <f t="shared" si="56"/>
        <v>248.66999999999996</v>
      </c>
      <c r="U93" s="356">
        <f t="shared" si="56"/>
        <v>248.66999999999996</v>
      </c>
      <c r="V93" s="184">
        <f t="shared" si="56"/>
        <v>248.66999999999996</v>
      </c>
      <c r="W93" s="184">
        <f t="shared" si="56"/>
        <v>248.66999999999996</v>
      </c>
      <c r="X93" s="184">
        <f t="shared" si="56"/>
        <v>248.66999999999996</v>
      </c>
      <c r="Y93" s="184">
        <f t="shared" si="56"/>
        <v>207.22499999999999</v>
      </c>
      <c r="Z93" s="356">
        <f t="shared" si="56"/>
        <v>165.78</v>
      </c>
      <c r="AA93" s="184">
        <f t="shared" si="56"/>
        <v>124.33499999999998</v>
      </c>
      <c r="AB93" s="184">
        <f t="shared" si="56"/>
        <v>82.889999999999986</v>
      </c>
      <c r="AC93" s="184">
        <f t="shared" si="56"/>
        <v>41.444999999999993</v>
      </c>
      <c r="AD93" s="184">
        <f t="shared" si="56"/>
        <v>0</v>
      </c>
      <c r="AE93" s="356">
        <f t="shared" si="56"/>
        <v>0</v>
      </c>
      <c r="AF93" s="74"/>
    </row>
    <row r="94" spans="2:32" s="96" customFormat="1" ht="12.75" customHeight="1">
      <c r="B94" s="106" t="s">
        <v>215</v>
      </c>
      <c r="C94" s="204"/>
      <c r="D94" s="184">
        <f t="shared" ref="D94:AE94" si="57">+D11*D82/1000</f>
        <v>0</v>
      </c>
      <c r="E94" s="184">
        <f t="shared" si="57"/>
        <v>0</v>
      </c>
      <c r="F94" s="184">
        <f t="shared" si="57"/>
        <v>82.71</v>
      </c>
      <c r="G94" s="184">
        <f t="shared" si="57"/>
        <v>165</v>
      </c>
      <c r="H94" s="184">
        <f t="shared" si="57"/>
        <v>360</v>
      </c>
      <c r="I94" s="184">
        <f t="shared" si="57"/>
        <v>435</v>
      </c>
      <c r="J94" s="184">
        <f t="shared" si="57"/>
        <v>549.38333999999998</v>
      </c>
      <c r="K94" s="356">
        <f t="shared" si="57"/>
        <v>663.76668000000006</v>
      </c>
      <c r="L94" s="184">
        <f t="shared" si="57"/>
        <v>663.76668000000006</v>
      </c>
      <c r="M94" s="184">
        <f t="shared" si="57"/>
        <v>663.76668000000006</v>
      </c>
      <c r="N94" s="184">
        <f t="shared" si="57"/>
        <v>663.76668000000006</v>
      </c>
      <c r="O94" s="184">
        <f t="shared" si="57"/>
        <v>663.76668000000006</v>
      </c>
      <c r="P94" s="356">
        <f t="shared" si="57"/>
        <v>663.76668000000006</v>
      </c>
      <c r="Q94" s="184">
        <f t="shared" si="57"/>
        <v>663.76668000000006</v>
      </c>
      <c r="R94" s="184">
        <f t="shared" si="57"/>
        <v>663.76668000000006</v>
      </c>
      <c r="S94" s="184">
        <f t="shared" si="57"/>
        <v>663.76668000000006</v>
      </c>
      <c r="T94" s="184">
        <f t="shared" si="57"/>
        <v>663.76668000000006</v>
      </c>
      <c r="U94" s="356">
        <f t="shared" si="57"/>
        <v>663.76668000000006</v>
      </c>
      <c r="V94" s="184">
        <f t="shared" si="57"/>
        <v>663.76668000000006</v>
      </c>
      <c r="W94" s="184">
        <f t="shared" si="57"/>
        <v>663.76668000000006</v>
      </c>
      <c r="X94" s="184">
        <f t="shared" si="57"/>
        <v>663.76668000000006</v>
      </c>
      <c r="Y94" s="184">
        <f t="shared" si="57"/>
        <v>663.76668000000006</v>
      </c>
      <c r="Z94" s="356">
        <f t="shared" si="57"/>
        <v>663.76668000000006</v>
      </c>
      <c r="AA94" s="184">
        <f t="shared" si="57"/>
        <v>663.76668000000006</v>
      </c>
      <c r="AB94" s="184">
        <f t="shared" si="57"/>
        <v>663.76668000000006</v>
      </c>
      <c r="AC94" s="184">
        <f t="shared" si="57"/>
        <v>663.76668000000006</v>
      </c>
      <c r="AD94" s="184">
        <f t="shared" si="57"/>
        <v>663.76668000000006</v>
      </c>
      <c r="AE94" s="356">
        <f t="shared" si="57"/>
        <v>553.13890000000004</v>
      </c>
      <c r="AF94" s="74"/>
    </row>
    <row r="95" spans="2:32" s="96" customFormat="1" ht="12.75" customHeight="1">
      <c r="B95" s="106" t="s">
        <v>121</v>
      </c>
      <c r="C95" s="204"/>
      <c r="D95" s="184">
        <f t="shared" ref="D95:AE95" si="58">+D12*D83/1000</f>
        <v>0</v>
      </c>
      <c r="E95" s="184">
        <f t="shared" si="58"/>
        <v>0</v>
      </c>
      <c r="F95" s="184">
        <f t="shared" si="58"/>
        <v>0</v>
      </c>
      <c r="G95" s="184">
        <f t="shared" si="58"/>
        <v>0</v>
      </c>
      <c r="H95" s="184">
        <f t="shared" si="58"/>
        <v>0</v>
      </c>
      <c r="I95" s="184">
        <f t="shared" si="58"/>
        <v>0</v>
      </c>
      <c r="J95" s="184">
        <f t="shared" si="58"/>
        <v>0</v>
      </c>
      <c r="K95" s="356">
        <f t="shared" si="58"/>
        <v>0</v>
      </c>
      <c r="L95" s="184">
        <f t="shared" si="58"/>
        <v>131.28703199999993</v>
      </c>
      <c r="M95" s="184">
        <f t="shared" si="58"/>
        <v>262.57406399999985</v>
      </c>
      <c r="N95" s="184">
        <f t="shared" si="58"/>
        <v>439.89222599999982</v>
      </c>
      <c r="O95" s="184">
        <f t="shared" si="58"/>
        <v>617.21038799999974</v>
      </c>
      <c r="P95" s="356">
        <f t="shared" si="58"/>
        <v>794.52854999999965</v>
      </c>
      <c r="Q95" s="184">
        <f t="shared" si="58"/>
        <v>971.84671199999957</v>
      </c>
      <c r="R95" s="184">
        <f t="shared" si="58"/>
        <v>1173.9073834285707</v>
      </c>
      <c r="S95" s="184">
        <f t="shared" si="58"/>
        <v>1375.9680548571423</v>
      </c>
      <c r="T95" s="184">
        <f t="shared" si="58"/>
        <v>1578.0287262857134</v>
      </c>
      <c r="U95" s="356">
        <f t="shared" si="58"/>
        <v>1780.089397714285</v>
      </c>
      <c r="V95" s="184">
        <f t="shared" si="58"/>
        <v>1982.1500691428562</v>
      </c>
      <c r="W95" s="184">
        <f t="shared" si="58"/>
        <v>2184.2107405714278</v>
      </c>
      <c r="X95" s="184">
        <f t="shared" si="58"/>
        <v>2386.2714119999987</v>
      </c>
      <c r="Y95" s="184">
        <f t="shared" si="58"/>
        <v>2574.4629119999991</v>
      </c>
      <c r="Z95" s="356">
        <f t="shared" si="58"/>
        <v>2762.654411999999</v>
      </c>
      <c r="AA95" s="184">
        <f t="shared" si="58"/>
        <v>2950.8459119999989</v>
      </c>
      <c r="AB95" s="184">
        <f t="shared" si="58"/>
        <v>3139.0374119999992</v>
      </c>
      <c r="AC95" s="184">
        <f t="shared" si="58"/>
        <v>3327.2289119999987</v>
      </c>
      <c r="AD95" s="184">
        <f t="shared" si="58"/>
        <v>3515.4204119999986</v>
      </c>
      <c r="AE95" s="356">
        <f t="shared" si="58"/>
        <v>3713.9552309999985</v>
      </c>
      <c r="AF95" s="74"/>
    </row>
    <row r="96" spans="2:32" s="96" customFormat="1" ht="12.75" customHeight="1">
      <c r="B96" s="105" t="s">
        <v>87</v>
      </c>
      <c r="C96" s="204"/>
      <c r="D96" s="204"/>
      <c r="E96" s="204"/>
      <c r="F96" s="204"/>
      <c r="G96" s="204"/>
      <c r="H96" s="204"/>
      <c r="I96" s="204"/>
      <c r="J96" s="204"/>
      <c r="K96" s="377"/>
      <c r="L96" s="204"/>
      <c r="M96" s="204"/>
      <c r="N96" s="204"/>
      <c r="O96" s="204"/>
      <c r="P96" s="377"/>
      <c r="Q96" s="204"/>
      <c r="R96" s="204"/>
      <c r="S96" s="204"/>
      <c r="T96" s="204"/>
      <c r="U96" s="377"/>
      <c r="V96" s="204"/>
      <c r="W96" s="204"/>
      <c r="X96" s="204"/>
      <c r="Y96" s="204"/>
      <c r="Z96" s="377"/>
      <c r="AA96" s="204"/>
      <c r="AB96" s="204"/>
      <c r="AC96" s="204"/>
      <c r="AD96" s="204"/>
      <c r="AE96" s="377"/>
      <c r="AF96" s="74"/>
    </row>
    <row r="97" spans="2:32" s="96" customFormat="1" ht="12.75" customHeight="1">
      <c r="B97" s="106" t="s">
        <v>78</v>
      </c>
      <c r="C97" s="204"/>
      <c r="D97" s="184">
        <f t="shared" ref="D97:AE97" si="59">+D21*D85/1000</f>
        <v>3959.67</v>
      </c>
      <c r="E97" s="184">
        <f t="shared" si="59"/>
        <v>3906.7665000000002</v>
      </c>
      <c r="F97" s="184">
        <f t="shared" si="59"/>
        <v>3840.915</v>
      </c>
      <c r="G97" s="184">
        <f t="shared" si="59"/>
        <v>3819.855</v>
      </c>
      <c r="H97" s="184">
        <f t="shared" si="59"/>
        <v>3729.8828450000001</v>
      </c>
      <c r="I97" s="184">
        <f t="shared" si="59"/>
        <v>3642.5080900000003</v>
      </c>
      <c r="J97" s="184">
        <f t="shared" si="59"/>
        <v>3555.1333350000004</v>
      </c>
      <c r="K97" s="356">
        <f t="shared" si="59"/>
        <v>3467.7585800000002</v>
      </c>
      <c r="L97" s="184">
        <f t="shared" si="59"/>
        <v>3353.89795</v>
      </c>
      <c r="M97" s="184">
        <f t="shared" si="59"/>
        <v>3240.0373200000004</v>
      </c>
      <c r="N97" s="184">
        <f t="shared" si="59"/>
        <v>2987.8059900000003</v>
      </c>
      <c r="O97" s="184">
        <f t="shared" si="59"/>
        <v>2735.5746600000007</v>
      </c>
      <c r="P97" s="356">
        <f t="shared" si="59"/>
        <v>2483.3433300000002</v>
      </c>
      <c r="Q97" s="184">
        <f t="shared" si="59"/>
        <v>2231.1120000000005</v>
      </c>
      <c r="R97" s="184">
        <f t="shared" si="59"/>
        <v>1912.3817142857149</v>
      </c>
      <c r="S97" s="184">
        <f t="shared" si="59"/>
        <v>1593.6514285714293</v>
      </c>
      <c r="T97" s="184">
        <f t="shared" si="59"/>
        <v>1274.9211428571436</v>
      </c>
      <c r="U97" s="356">
        <f t="shared" si="59"/>
        <v>956.19085714285779</v>
      </c>
      <c r="V97" s="184">
        <f t="shared" si="59"/>
        <v>637.46057142857205</v>
      </c>
      <c r="W97" s="184">
        <f t="shared" si="59"/>
        <v>318.7302857142862</v>
      </c>
      <c r="X97" s="184">
        <f t="shared" si="59"/>
        <v>4.4337866711430251E-13</v>
      </c>
      <c r="Y97" s="184">
        <f t="shared" si="59"/>
        <v>0</v>
      </c>
      <c r="Z97" s="356">
        <f t="shared" si="59"/>
        <v>0</v>
      </c>
      <c r="AA97" s="184">
        <f t="shared" si="59"/>
        <v>0</v>
      </c>
      <c r="AB97" s="184">
        <f t="shared" si="59"/>
        <v>0</v>
      </c>
      <c r="AC97" s="184">
        <f t="shared" si="59"/>
        <v>0</v>
      </c>
      <c r="AD97" s="184">
        <f t="shared" si="59"/>
        <v>0</v>
      </c>
      <c r="AE97" s="356">
        <f t="shared" si="59"/>
        <v>0</v>
      </c>
      <c r="AF97" s="74"/>
    </row>
    <row r="98" spans="2:32" s="96" customFormat="1" ht="12.75" customHeight="1">
      <c r="B98" s="106" t="s">
        <v>186</v>
      </c>
      <c r="C98" s="394"/>
      <c r="D98" s="184">
        <f t="shared" ref="D98:AE98" si="60">+D22*D86/1000</f>
        <v>1868.825</v>
      </c>
      <c r="E98" s="184">
        <f t="shared" si="60"/>
        <v>2824.625</v>
      </c>
      <c r="F98" s="184">
        <f t="shared" si="60"/>
        <v>2819.02</v>
      </c>
      <c r="G98" s="184">
        <f t="shared" si="60"/>
        <v>2803.09</v>
      </c>
      <c r="H98" s="184">
        <f t="shared" si="60"/>
        <v>2803.09</v>
      </c>
      <c r="I98" s="184">
        <f t="shared" si="60"/>
        <v>2803.09</v>
      </c>
      <c r="J98" s="184">
        <f t="shared" si="60"/>
        <v>2803.09</v>
      </c>
      <c r="K98" s="356">
        <f t="shared" si="60"/>
        <v>2803.09</v>
      </c>
      <c r="L98" s="184">
        <f t="shared" si="60"/>
        <v>2803.09</v>
      </c>
      <c r="M98" s="184">
        <f t="shared" si="60"/>
        <v>2803.09</v>
      </c>
      <c r="N98" s="184">
        <f t="shared" si="60"/>
        <v>2803.09</v>
      </c>
      <c r="O98" s="184">
        <f t="shared" si="60"/>
        <v>2803.09</v>
      </c>
      <c r="P98" s="356">
        <f t="shared" si="60"/>
        <v>2803.09</v>
      </c>
      <c r="Q98" s="184">
        <f t="shared" si="60"/>
        <v>2803.09</v>
      </c>
      <c r="R98" s="184">
        <f t="shared" si="60"/>
        <v>2803.09</v>
      </c>
      <c r="S98" s="184">
        <f t="shared" si="60"/>
        <v>2803.09</v>
      </c>
      <c r="T98" s="184">
        <f t="shared" si="60"/>
        <v>2803.09</v>
      </c>
      <c r="U98" s="356">
        <f t="shared" si="60"/>
        <v>2803.09</v>
      </c>
      <c r="V98" s="184">
        <f t="shared" si="60"/>
        <v>2803.09</v>
      </c>
      <c r="W98" s="184">
        <f t="shared" si="60"/>
        <v>2803.09</v>
      </c>
      <c r="X98" s="184">
        <f t="shared" si="60"/>
        <v>2803.09</v>
      </c>
      <c r="Y98" s="184">
        <f t="shared" si="60"/>
        <v>2335.9083333333333</v>
      </c>
      <c r="Z98" s="356">
        <f t="shared" si="60"/>
        <v>1868.7266666666667</v>
      </c>
      <c r="AA98" s="184">
        <f t="shared" si="60"/>
        <v>1401.5450000000001</v>
      </c>
      <c r="AB98" s="184">
        <f t="shared" si="60"/>
        <v>934.36333333333334</v>
      </c>
      <c r="AC98" s="184">
        <f t="shared" si="60"/>
        <v>467.18166666666667</v>
      </c>
      <c r="AD98" s="184">
        <f t="shared" si="60"/>
        <v>0</v>
      </c>
      <c r="AE98" s="356">
        <f t="shared" si="60"/>
        <v>0</v>
      </c>
      <c r="AF98" s="74"/>
    </row>
    <row r="99" spans="2:32" s="96" customFormat="1" ht="12.75" customHeight="1">
      <c r="B99" s="106" t="s">
        <v>215</v>
      </c>
      <c r="C99" s="394"/>
      <c r="D99" s="184">
        <f t="shared" ref="D99:AE99" si="61">+D23*D87/1000</f>
        <v>0</v>
      </c>
      <c r="E99" s="184">
        <f t="shared" si="61"/>
        <v>0</v>
      </c>
      <c r="F99" s="184">
        <f t="shared" si="61"/>
        <v>247.905</v>
      </c>
      <c r="G99" s="184">
        <f t="shared" si="61"/>
        <v>896.26950000000011</v>
      </c>
      <c r="H99" s="184">
        <f t="shared" si="61"/>
        <v>1353.0195000000001</v>
      </c>
      <c r="I99" s="184">
        <f t="shared" si="61"/>
        <v>1935.7695000000001</v>
      </c>
      <c r="J99" s="184">
        <f t="shared" si="61"/>
        <v>2416.1795279999997</v>
      </c>
      <c r="K99" s="356">
        <f t="shared" si="61"/>
        <v>2896.5895559999999</v>
      </c>
      <c r="L99" s="184">
        <f t="shared" si="61"/>
        <v>2896.5895559999999</v>
      </c>
      <c r="M99" s="184">
        <f t="shared" si="61"/>
        <v>2896.5895559999999</v>
      </c>
      <c r="N99" s="184">
        <f t="shared" si="61"/>
        <v>2896.5895559999999</v>
      </c>
      <c r="O99" s="184">
        <f t="shared" si="61"/>
        <v>2896.5895559999999</v>
      </c>
      <c r="P99" s="356">
        <f t="shared" si="61"/>
        <v>2896.5895559999999</v>
      </c>
      <c r="Q99" s="184">
        <f t="shared" si="61"/>
        <v>2896.5895559999999</v>
      </c>
      <c r="R99" s="184">
        <f t="shared" si="61"/>
        <v>2896.5895559999999</v>
      </c>
      <c r="S99" s="184">
        <f t="shared" si="61"/>
        <v>2896.5895559999999</v>
      </c>
      <c r="T99" s="184">
        <f t="shared" si="61"/>
        <v>2896.5895559999999</v>
      </c>
      <c r="U99" s="356">
        <f t="shared" si="61"/>
        <v>2896.5895559999999</v>
      </c>
      <c r="V99" s="184">
        <f t="shared" si="61"/>
        <v>2896.5895559999999</v>
      </c>
      <c r="W99" s="184">
        <f t="shared" si="61"/>
        <v>2896.5895559999999</v>
      </c>
      <c r="X99" s="184">
        <f t="shared" si="61"/>
        <v>2896.5895559999999</v>
      </c>
      <c r="Y99" s="184">
        <f t="shared" si="61"/>
        <v>2896.5895559999999</v>
      </c>
      <c r="Z99" s="356">
        <f t="shared" si="61"/>
        <v>2896.5895559999999</v>
      </c>
      <c r="AA99" s="184">
        <f t="shared" si="61"/>
        <v>2896.5895559999999</v>
      </c>
      <c r="AB99" s="184">
        <f t="shared" si="61"/>
        <v>2896.5895559999999</v>
      </c>
      <c r="AC99" s="184">
        <f t="shared" si="61"/>
        <v>2896.5895559999999</v>
      </c>
      <c r="AD99" s="184">
        <f t="shared" si="61"/>
        <v>2896.5895559999999</v>
      </c>
      <c r="AE99" s="356">
        <f t="shared" si="61"/>
        <v>2413.8246300000001</v>
      </c>
      <c r="AF99" s="74"/>
    </row>
    <row r="100" spans="2:32" s="96" customFormat="1" ht="12.75" customHeight="1" thickBot="1">
      <c r="B100" s="106" t="s">
        <v>121</v>
      </c>
      <c r="C100" s="394"/>
      <c r="D100" s="184">
        <f t="shared" ref="D100:AE100" si="62">+D24*D88/1000</f>
        <v>0</v>
      </c>
      <c r="E100" s="184">
        <f t="shared" si="62"/>
        <v>0</v>
      </c>
      <c r="F100" s="184">
        <f t="shared" si="62"/>
        <v>0</v>
      </c>
      <c r="G100" s="184">
        <f t="shared" si="62"/>
        <v>0</v>
      </c>
      <c r="H100" s="184">
        <f t="shared" si="62"/>
        <v>0</v>
      </c>
      <c r="I100" s="184">
        <f t="shared" si="62"/>
        <v>0</v>
      </c>
      <c r="J100" s="184">
        <f t="shared" si="62"/>
        <v>0</v>
      </c>
      <c r="K100" s="356">
        <f t="shared" si="62"/>
        <v>0</v>
      </c>
      <c r="L100" s="184">
        <f t="shared" si="62"/>
        <v>550.15518171428562</v>
      </c>
      <c r="M100" s="184">
        <f t="shared" si="62"/>
        <v>1100.3103634285712</v>
      </c>
      <c r="N100" s="184">
        <f t="shared" si="62"/>
        <v>1843.3578994285713</v>
      </c>
      <c r="O100" s="184">
        <f t="shared" si="62"/>
        <v>2586.4054354285709</v>
      </c>
      <c r="P100" s="356">
        <f t="shared" si="62"/>
        <v>3329.4529714285713</v>
      </c>
      <c r="Q100" s="184">
        <f t="shared" si="62"/>
        <v>4072.5005074285705</v>
      </c>
      <c r="R100" s="184">
        <f t="shared" si="62"/>
        <v>4919.2309400816321</v>
      </c>
      <c r="S100" s="184">
        <f t="shared" si="62"/>
        <v>5765.9613727346941</v>
      </c>
      <c r="T100" s="184">
        <f t="shared" si="62"/>
        <v>6612.6918053877553</v>
      </c>
      <c r="U100" s="356">
        <f t="shared" si="62"/>
        <v>7459.4222380408164</v>
      </c>
      <c r="V100" s="184">
        <f t="shared" si="62"/>
        <v>8306.1526706938766</v>
      </c>
      <c r="W100" s="184">
        <f t="shared" si="62"/>
        <v>9152.8831033469378</v>
      </c>
      <c r="X100" s="184">
        <f t="shared" si="62"/>
        <v>9999.6135359999989</v>
      </c>
      <c r="Y100" s="184">
        <f t="shared" si="62"/>
        <v>10788.225535999998</v>
      </c>
      <c r="Z100" s="356">
        <f t="shared" si="62"/>
        <v>11576.837535999999</v>
      </c>
      <c r="AA100" s="184">
        <f t="shared" si="62"/>
        <v>12365.449535999998</v>
      </c>
      <c r="AB100" s="184">
        <f t="shared" si="62"/>
        <v>13154.061535999999</v>
      </c>
      <c r="AC100" s="184">
        <f t="shared" si="62"/>
        <v>13942.673536</v>
      </c>
      <c r="AD100" s="184">
        <f t="shared" si="62"/>
        <v>14731.285535999999</v>
      </c>
      <c r="AE100" s="356">
        <f t="shared" si="62"/>
        <v>15563.240968</v>
      </c>
      <c r="AF100" s="74"/>
    </row>
    <row r="101" spans="2:32" s="83" customFormat="1" ht="12.75" customHeight="1" thickBot="1">
      <c r="B101" s="97" t="s">
        <v>188</v>
      </c>
      <c r="C101" s="395"/>
      <c r="D101" s="198">
        <f>+SUM(D92:D95,D97:D100)</f>
        <v>6964.7650000000003</v>
      </c>
      <c r="E101" s="199">
        <f t="shared" ref="E101:AE101" si="63">+SUM(E92:E95,E97:E100)</f>
        <v>7895.5339999999997</v>
      </c>
      <c r="F101" s="199">
        <f t="shared" si="63"/>
        <v>8147.7550000000001</v>
      </c>
      <c r="G101" s="199">
        <f t="shared" si="63"/>
        <v>8799.424500000001</v>
      </c>
      <c r="H101" s="199">
        <f t="shared" si="63"/>
        <v>9321.4063783333331</v>
      </c>
      <c r="I101" s="199">
        <f t="shared" si="63"/>
        <v>9853.2436566666674</v>
      </c>
      <c r="J101" s="200">
        <f t="shared" si="63"/>
        <v>10322.124303000001</v>
      </c>
      <c r="K101" s="372">
        <f t="shared" si="63"/>
        <v>10791.004949333334</v>
      </c>
      <c r="L101" s="373">
        <f t="shared" si="63"/>
        <v>11312.332744952382</v>
      </c>
      <c r="M101" s="199">
        <f t="shared" si="63"/>
        <v>11833.660540571427</v>
      </c>
      <c r="N101" s="199">
        <f t="shared" si="63"/>
        <v>12451.645108571429</v>
      </c>
      <c r="O101" s="200">
        <f t="shared" si="63"/>
        <v>13069.629676571429</v>
      </c>
      <c r="P101" s="372">
        <f t="shared" si="63"/>
        <v>13687.614244571429</v>
      </c>
      <c r="Q101" s="373">
        <f t="shared" si="63"/>
        <v>14305.598812571428</v>
      </c>
      <c r="R101" s="199">
        <f t="shared" si="63"/>
        <v>14975.942008489796</v>
      </c>
      <c r="S101" s="199">
        <f t="shared" si="63"/>
        <v>15646.285204408163</v>
      </c>
      <c r="T101" s="200">
        <f t="shared" si="63"/>
        <v>16316.628400326532</v>
      </c>
      <c r="U101" s="372">
        <f t="shared" si="63"/>
        <v>16986.971596244897</v>
      </c>
      <c r="V101" s="373">
        <f t="shared" si="63"/>
        <v>17657.314792163263</v>
      </c>
      <c r="W101" s="199">
        <f t="shared" si="63"/>
        <v>18327.657988081628</v>
      </c>
      <c r="X101" s="199">
        <f t="shared" si="63"/>
        <v>18998.001184000001</v>
      </c>
      <c r="Y101" s="200">
        <f t="shared" si="63"/>
        <v>19466.178017333332</v>
      </c>
      <c r="Z101" s="372">
        <f t="shared" si="63"/>
        <v>19934.354850666663</v>
      </c>
      <c r="AA101" s="373">
        <f t="shared" si="63"/>
        <v>20402.531683999998</v>
      </c>
      <c r="AB101" s="199">
        <f t="shared" si="63"/>
        <v>20870.708517333333</v>
      </c>
      <c r="AC101" s="199">
        <f t="shared" si="63"/>
        <v>21338.885350666664</v>
      </c>
      <c r="AD101" s="200">
        <f t="shared" si="63"/>
        <v>21807.062183999999</v>
      </c>
      <c r="AE101" s="372">
        <f t="shared" si="63"/>
        <v>22244.159728999999</v>
      </c>
      <c r="AF101" s="73"/>
    </row>
    <row r="102" spans="2:32" s="83" customFormat="1" ht="12.75" customHeight="1">
      <c r="B102" s="108"/>
      <c r="C102" s="396"/>
      <c r="D102" s="213"/>
      <c r="E102" s="213"/>
      <c r="F102" s="213"/>
      <c r="G102" s="213"/>
      <c r="H102" s="213"/>
      <c r="I102" s="213"/>
      <c r="J102" s="213"/>
      <c r="K102" s="378"/>
      <c r="L102" s="213"/>
      <c r="M102" s="213"/>
      <c r="N102" s="213"/>
      <c r="O102" s="213"/>
      <c r="P102" s="378"/>
      <c r="Q102" s="213"/>
      <c r="R102" s="213"/>
      <c r="S102" s="213"/>
      <c r="T102" s="213"/>
      <c r="U102" s="378"/>
      <c r="V102" s="213"/>
      <c r="W102" s="213"/>
      <c r="X102" s="213"/>
      <c r="Y102" s="213"/>
      <c r="Z102" s="378"/>
      <c r="AA102" s="213"/>
      <c r="AB102" s="184"/>
      <c r="AC102" s="184"/>
      <c r="AD102" s="184"/>
      <c r="AE102" s="368"/>
      <c r="AF102" s="73"/>
    </row>
    <row r="103" spans="2:32" s="83" customFormat="1" ht="12.75" customHeight="1">
      <c r="B103" s="69"/>
      <c r="C103" s="215"/>
      <c r="D103" s="184"/>
      <c r="E103" s="184"/>
      <c r="F103" s="184"/>
      <c r="G103" s="184"/>
      <c r="H103" s="184"/>
      <c r="I103" s="184"/>
      <c r="J103" s="184"/>
      <c r="K103" s="356"/>
      <c r="L103" s="184"/>
      <c r="M103" s="184"/>
      <c r="N103" s="184"/>
      <c r="O103" s="184"/>
      <c r="P103" s="356"/>
      <c r="Q103" s="184"/>
      <c r="R103" s="184"/>
      <c r="S103" s="184"/>
      <c r="T103" s="184"/>
      <c r="U103" s="356"/>
      <c r="V103" s="184"/>
      <c r="W103" s="184"/>
      <c r="X103" s="184"/>
      <c r="Y103" s="184"/>
      <c r="Z103" s="356"/>
      <c r="AA103" s="184"/>
      <c r="AB103" s="184"/>
      <c r="AC103" s="184"/>
      <c r="AD103" s="184"/>
      <c r="AE103" s="368"/>
      <c r="AF103" s="73"/>
    </row>
    <row r="104" spans="2:32" s="83" customFormat="1" ht="12.75" customHeight="1">
      <c r="B104" s="102" t="s">
        <v>189</v>
      </c>
      <c r="C104" s="214"/>
      <c r="D104" s="184"/>
      <c r="E104" s="184"/>
      <c r="F104" s="184"/>
      <c r="G104" s="184"/>
      <c r="H104" s="184"/>
      <c r="I104" s="184"/>
      <c r="J104" s="184"/>
      <c r="K104" s="356"/>
      <c r="L104" s="184"/>
      <c r="M104" s="184"/>
      <c r="N104" s="184"/>
      <c r="O104" s="184"/>
      <c r="P104" s="356"/>
      <c r="Q104" s="184"/>
      <c r="R104" s="184"/>
      <c r="S104" s="184"/>
      <c r="T104" s="184"/>
      <c r="U104" s="356"/>
      <c r="V104" s="184"/>
      <c r="W104" s="184"/>
      <c r="X104" s="184"/>
      <c r="Y104" s="184"/>
      <c r="Z104" s="356"/>
      <c r="AA104" s="184"/>
      <c r="AB104" s="184"/>
      <c r="AC104" s="184"/>
      <c r="AD104" s="184"/>
      <c r="AE104" s="368"/>
      <c r="AF104" s="73"/>
    </row>
    <row r="105" spans="2:32" s="83" customFormat="1" ht="12.75" customHeight="1">
      <c r="B105" s="105" t="s">
        <v>85</v>
      </c>
      <c r="C105" s="215"/>
      <c r="D105" s="184"/>
      <c r="E105" s="184"/>
      <c r="F105" s="184"/>
      <c r="G105" s="184"/>
      <c r="H105" s="184"/>
      <c r="I105" s="184"/>
      <c r="J105" s="184"/>
      <c r="K105" s="356"/>
      <c r="L105" s="184"/>
      <c r="M105" s="184"/>
      <c r="N105" s="184"/>
      <c r="O105" s="184"/>
      <c r="P105" s="356"/>
      <c r="Q105" s="184"/>
      <c r="R105" s="184"/>
      <c r="S105" s="184"/>
      <c r="T105" s="184"/>
      <c r="U105" s="356"/>
      <c r="V105" s="184"/>
      <c r="W105" s="184"/>
      <c r="X105" s="184"/>
      <c r="Y105" s="184"/>
      <c r="Z105" s="356"/>
      <c r="AA105" s="184"/>
      <c r="AB105" s="184"/>
      <c r="AC105" s="184"/>
      <c r="AD105" s="184"/>
      <c r="AE105" s="368"/>
      <c r="AF105" s="73"/>
    </row>
    <row r="106" spans="2:32" s="83" customFormat="1" ht="12.75" customHeight="1">
      <c r="B106" s="109" t="s">
        <v>130</v>
      </c>
      <c r="C106"/>
      <c r="D106" s="210">
        <v>1700</v>
      </c>
      <c r="E106" s="184">
        <f>D106</f>
        <v>1700</v>
      </c>
      <c r="F106" s="184">
        <f t="shared" ref="F106:U112" si="64">E106</f>
        <v>1700</v>
      </c>
      <c r="G106" s="184">
        <f t="shared" si="64"/>
        <v>1700</v>
      </c>
      <c r="H106" s="184">
        <f t="shared" si="64"/>
        <v>1700</v>
      </c>
      <c r="I106" s="184">
        <f t="shared" si="64"/>
        <v>1700</v>
      </c>
      <c r="J106" s="184">
        <f t="shared" si="64"/>
        <v>1700</v>
      </c>
      <c r="K106" s="356">
        <f t="shared" si="64"/>
        <v>1700</v>
      </c>
      <c r="L106" s="184">
        <f t="shared" si="64"/>
        <v>1700</v>
      </c>
      <c r="M106" s="184">
        <f t="shared" si="64"/>
        <v>1700</v>
      </c>
      <c r="N106" s="184">
        <f t="shared" si="64"/>
        <v>1700</v>
      </c>
      <c r="O106" s="184">
        <f t="shared" si="64"/>
        <v>1700</v>
      </c>
      <c r="P106" s="356">
        <f t="shared" si="64"/>
        <v>1700</v>
      </c>
      <c r="Q106" s="184">
        <f t="shared" si="64"/>
        <v>1700</v>
      </c>
      <c r="R106" s="184">
        <f t="shared" si="64"/>
        <v>1700</v>
      </c>
      <c r="S106" s="184">
        <f t="shared" si="64"/>
        <v>1700</v>
      </c>
      <c r="T106" s="184">
        <f t="shared" si="64"/>
        <v>1700</v>
      </c>
      <c r="U106" s="356">
        <f t="shared" si="64"/>
        <v>1700</v>
      </c>
      <c r="V106" s="184">
        <f t="shared" ref="V106:AE112" si="65">U106</f>
        <v>1700</v>
      </c>
      <c r="W106" s="184">
        <f t="shared" si="65"/>
        <v>1700</v>
      </c>
      <c r="X106" s="184">
        <f t="shared" si="65"/>
        <v>1700</v>
      </c>
      <c r="Y106" s="184">
        <f t="shared" si="65"/>
        <v>1700</v>
      </c>
      <c r="Z106" s="356">
        <f t="shared" si="65"/>
        <v>1700</v>
      </c>
      <c r="AA106" s="184">
        <f t="shared" si="65"/>
        <v>1700</v>
      </c>
      <c r="AB106" s="184">
        <f t="shared" si="65"/>
        <v>1700</v>
      </c>
      <c r="AC106" s="184">
        <f t="shared" si="65"/>
        <v>1700</v>
      </c>
      <c r="AD106" s="184">
        <f t="shared" si="65"/>
        <v>1700</v>
      </c>
      <c r="AE106" s="356">
        <f t="shared" si="65"/>
        <v>1700</v>
      </c>
      <c r="AF106" s="73"/>
    </row>
    <row r="107" spans="2:32" s="83" customFormat="1" ht="12.75" customHeight="1">
      <c r="B107" s="109" t="s">
        <v>131</v>
      </c>
      <c r="C107"/>
      <c r="D107" s="210">
        <v>2300</v>
      </c>
      <c r="E107" s="184">
        <f>D107</f>
        <v>2300</v>
      </c>
      <c r="F107" s="184">
        <f t="shared" si="64"/>
        <v>2300</v>
      </c>
      <c r="G107" s="184">
        <f t="shared" si="64"/>
        <v>2300</v>
      </c>
      <c r="H107" s="184">
        <f t="shared" si="64"/>
        <v>2300</v>
      </c>
      <c r="I107" s="184">
        <f t="shared" si="64"/>
        <v>2300</v>
      </c>
      <c r="J107" s="184">
        <f t="shared" si="64"/>
        <v>2300</v>
      </c>
      <c r="K107" s="356">
        <f t="shared" si="64"/>
        <v>2300</v>
      </c>
      <c r="L107" s="184">
        <f t="shared" si="64"/>
        <v>2300</v>
      </c>
      <c r="M107" s="184">
        <f t="shared" si="64"/>
        <v>2300</v>
      </c>
      <c r="N107" s="184">
        <f t="shared" si="64"/>
        <v>2300</v>
      </c>
      <c r="O107" s="184">
        <f t="shared" si="64"/>
        <v>2300</v>
      </c>
      <c r="P107" s="356">
        <f t="shared" si="64"/>
        <v>2300</v>
      </c>
      <c r="Q107" s="184">
        <f t="shared" si="64"/>
        <v>2300</v>
      </c>
      <c r="R107" s="184">
        <f t="shared" si="64"/>
        <v>2300</v>
      </c>
      <c r="S107" s="184">
        <f t="shared" si="64"/>
        <v>2300</v>
      </c>
      <c r="T107" s="184">
        <f t="shared" si="64"/>
        <v>2300</v>
      </c>
      <c r="U107" s="356">
        <f t="shared" si="64"/>
        <v>2300</v>
      </c>
      <c r="V107" s="184">
        <f t="shared" si="65"/>
        <v>2300</v>
      </c>
      <c r="W107" s="184">
        <f t="shared" si="65"/>
        <v>2300</v>
      </c>
      <c r="X107" s="184">
        <f t="shared" si="65"/>
        <v>2300</v>
      </c>
      <c r="Y107" s="184">
        <f t="shared" si="65"/>
        <v>2300</v>
      </c>
      <c r="Z107" s="356">
        <f t="shared" si="65"/>
        <v>2300</v>
      </c>
      <c r="AA107" s="184">
        <f t="shared" si="65"/>
        <v>2300</v>
      </c>
      <c r="AB107" s="184">
        <f t="shared" si="65"/>
        <v>2300</v>
      </c>
      <c r="AC107" s="184">
        <f t="shared" si="65"/>
        <v>2300</v>
      </c>
      <c r="AD107" s="184">
        <f t="shared" si="65"/>
        <v>2300</v>
      </c>
      <c r="AE107" s="356">
        <f t="shared" si="65"/>
        <v>2300</v>
      </c>
      <c r="AF107" s="73"/>
    </row>
    <row r="108" spans="2:32" s="83" customFormat="1" ht="12.75" customHeight="1">
      <c r="B108" s="110" t="s">
        <v>132</v>
      </c>
      <c r="C108"/>
      <c r="D108" s="210">
        <v>3350</v>
      </c>
      <c r="E108" s="184">
        <f>D108</f>
        <v>3350</v>
      </c>
      <c r="F108" s="184">
        <f t="shared" si="64"/>
        <v>3350</v>
      </c>
      <c r="G108" s="184">
        <f t="shared" si="64"/>
        <v>3350</v>
      </c>
      <c r="H108" s="184">
        <f t="shared" si="64"/>
        <v>3350</v>
      </c>
      <c r="I108" s="184">
        <f t="shared" si="64"/>
        <v>3350</v>
      </c>
      <c r="J108" s="184">
        <f t="shared" si="64"/>
        <v>3350</v>
      </c>
      <c r="K108" s="356">
        <f t="shared" si="64"/>
        <v>3350</v>
      </c>
      <c r="L108" s="184">
        <f t="shared" si="64"/>
        <v>3350</v>
      </c>
      <c r="M108" s="184">
        <f t="shared" si="64"/>
        <v>3350</v>
      </c>
      <c r="N108" s="184">
        <f t="shared" si="64"/>
        <v>3350</v>
      </c>
      <c r="O108" s="184">
        <f t="shared" si="64"/>
        <v>3350</v>
      </c>
      <c r="P108" s="356">
        <f t="shared" si="64"/>
        <v>3350</v>
      </c>
      <c r="Q108" s="184">
        <f t="shared" si="64"/>
        <v>3350</v>
      </c>
      <c r="R108" s="184">
        <f t="shared" si="64"/>
        <v>3350</v>
      </c>
      <c r="S108" s="184">
        <f t="shared" si="64"/>
        <v>3350</v>
      </c>
      <c r="T108" s="184">
        <f t="shared" si="64"/>
        <v>3350</v>
      </c>
      <c r="U108" s="356">
        <f t="shared" si="64"/>
        <v>3350</v>
      </c>
      <c r="V108" s="184">
        <f t="shared" si="65"/>
        <v>3350</v>
      </c>
      <c r="W108" s="184">
        <f t="shared" si="65"/>
        <v>3350</v>
      </c>
      <c r="X108" s="184">
        <f t="shared" si="65"/>
        <v>3350</v>
      </c>
      <c r="Y108" s="184">
        <f t="shared" si="65"/>
        <v>3350</v>
      </c>
      <c r="Z108" s="356">
        <f t="shared" si="65"/>
        <v>3350</v>
      </c>
      <c r="AA108" s="184">
        <f t="shared" si="65"/>
        <v>3350</v>
      </c>
      <c r="AB108" s="184">
        <f t="shared" si="65"/>
        <v>3350</v>
      </c>
      <c r="AC108" s="184">
        <f t="shared" si="65"/>
        <v>3350</v>
      </c>
      <c r="AD108" s="184">
        <f t="shared" si="65"/>
        <v>3350</v>
      </c>
      <c r="AE108" s="356">
        <f t="shared" si="65"/>
        <v>3350</v>
      </c>
      <c r="AF108" s="73"/>
    </row>
    <row r="109" spans="2:32" s="83" customFormat="1" ht="12.75" customHeight="1">
      <c r="B109" s="110" t="s">
        <v>133</v>
      </c>
      <c r="C109"/>
      <c r="D109" s="210">
        <v>3350</v>
      </c>
      <c r="E109" s="184">
        <f>D109</f>
        <v>3350</v>
      </c>
      <c r="F109" s="184">
        <f t="shared" si="64"/>
        <v>3350</v>
      </c>
      <c r="G109" s="184">
        <f t="shared" si="64"/>
        <v>3350</v>
      </c>
      <c r="H109" s="184">
        <f t="shared" si="64"/>
        <v>3350</v>
      </c>
      <c r="I109" s="184">
        <f t="shared" si="64"/>
        <v>3350</v>
      </c>
      <c r="J109" s="184">
        <f t="shared" si="64"/>
        <v>3350</v>
      </c>
      <c r="K109" s="356">
        <f t="shared" si="64"/>
        <v>3350</v>
      </c>
      <c r="L109" s="184">
        <f t="shared" si="64"/>
        <v>3350</v>
      </c>
      <c r="M109" s="184">
        <f t="shared" si="64"/>
        <v>3350</v>
      </c>
      <c r="N109" s="184">
        <f t="shared" si="64"/>
        <v>3350</v>
      </c>
      <c r="O109" s="184">
        <f t="shared" si="64"/>
        <v>3350</v>
      </c>
      <c r="P109" s="356">
        <f t="shared" si="64"/>
        <v>3350</v>
      </c>
      <c r="Q109" s="184">
        <f t="shared" si="64"/>
        <v>3350</v>
      </c>
      <c r="R109" s="184">
        <f t="shared" si="64"/>
        <v>3350</v>
      </c>
      <c r="S109" s="184">
        <f t="shared" si="64"/>
        <v>3350</v>
      </c>
      <c r="T109" s="184">
        <f t="shared" si="64"/>
        <v>3350</v>
      </c>
      <c r="U109" s="356">
        <f t="shared" si="64"/>
        <v>3350</v>
      </c>
      <c r="V109" s="184">
        <f t="shared" si="65"/>
        <v>3350</v>
      </c>
      <c r="W109" s="184">
        <f t="shared" si="65"/>
        <v>3350</v>
      </c>
      <c r="X109" s="184">
        <f t="shared" si="65"/>
        <v>3350</v>
      </c>
      <c r="Y109" s="184">
        <f t="shared" si="65"/>
        <v>3350</v>
      </c>
      <c r="Z109" s="356">
        <f t="shared" si="65"/>
        <v>3350</v>
      </c>
      <c r="AA109" s="184">
        <f t="shared" si="65"/>
        <v>3350</v>
      </c>
      <c r="AB109" s="184">
        <f t="shared" si="65"/>
        <v>3350</v>
      </c>
      <c r="AC109" s="184">
        <f t="shared" si="65"/>
        <v>3350</v>
      </c>
      <c r="AD109" s="184">
        <f t="shared" si="65"/>
        <v>3350</v>
      </c>
      <c r="AE109" s="356">
        <f t="shared" si="65"/>
        <v>3350</v>
      </c>
      <c r="AF109" s="73"/>
    </row>
    <row r="110" spans="2:32" s="83" customFormat="1" ht="12.75" customHeight="1">
      <c r="B110" s="631" t="s">
        <v>350</v>
      </c>
      <c r="C110"/>
      <c r="D110" s="184"/>
      <c r="E110" s="184"/>
      <c r="F110" s="184"/>
      <c r="G110" s="184"/>
      <c r="H110" s="184"/>
      <c r="I110" s="184"/>
      <c r="J110" s="184"/>
      <c r="K110" s="385">
        <v>4000</v>
      </c>
      <c r="L110" s="184">
        <f t="shared" si="64"/>
        <v>4000</v>
      </c>
      <c r="M110" s="184">
        <f t="shared" si="64"/>
        <v>4000</v>
      </c>
      <c r="N110" s="184">
        <f t="shared" si="64"/>
        <v>4000</v>
      </c>
      <c r="O110" s="184">
        <f t="shared" si="64"/>
        <v>4000</v>
      </c>
      <c r="P110" s="356">
        <f t="shared" si="64"/>
        <v>4000</v>
      </c>
      <c r="Q110" s="184">
        <f t="shared" si="64"/>
        <v>4000</v>
      </c>
      <c r="R110" s="184">
        <f t="shared" si="64"/>
        <v>4000</v>
      </c>
      <c r="S110" s="184">
        <f t="shared" si="64"/>
        <v>4000</v>
      </c>
      <c r="T110" s="184">
        <f t="shared" si="64"/>
        <v>4000</v>
      </c>
      <c r="U110" s="356">
        <f t="shared" si="64"/>
        <v>4000</v>
      </c>
      <c r="V110" s="184">
        <f t="shared" si="65"/>
        <v>4000</v>
      </c>
      <c r="W110" s="184">
        <f t="shared" si="65"/>
        <v>4000</v>
      </c>
      <c r="X110" s="184">
        <f t="shared" si="65"/>
        <v>4000</v>
      </c>
      <c r="Y110" s="184">
        <f t="shared" si="65"/>
        <v>4000</v>
      </c>
      <c r="Z110" s="356">
        <f t="shared" si="65"/>
        <v>4000</v>
      </c>
      <c r="AA110" s="184">
        <f t="shared" si="65"/>
        <v>4000</v>
      </c>
      <c r="AB110" s="184">
        <f t="shared" si="65"/>
        <v>4000</v>
      </c>
      <c r="AC110" s="184">
        <f t="shared" si="65"/>
        <v>4000</v>
      </c>
      <c r="AD110" s="184">
        <f t="shared" si="65"/>
        <v>4000</v>
      </c>
      <c r="AE110" s="356">
        <f t="shared" si="65"/>
        <v>4000</v>
      </c>
      <c r="AF110" s="73"/>
    </row>
    <row r="111" spans="2:32" s="83" customFormat="1" ht="12.75" customHeight="1">
      <c r="B111" s="630" t="s">
        <v>349</v>
      </c>
      <c r="C111"/>
      <c r="D111" s="184"/>
      <c r="E111" s="184"/>
      <c r="F111" s="184"/>
      <c r="G111" s="184"/>
      <c r="H111" s="184"/>
      <c r="I111" s="184"/>
      <c r="J111" s="184"/>
      <c r="K111" s="385">
        <v>4000</v>
      </c>
      <c r="L111" s="184">
        <f t="shared" si="64"/>
        <v>4000</v>
      </c>
      <c r="M111" s="184">
        <f t="shared" si="64"/>
        <v>4000</v>
      </c>
      <c r="N111" s="184">
        <f t="shared" si="64"/>
        <v>4000</v>
      </c>
      <c r="O111" s="184">
        <f t="shared" si="64"/>
        <v>4000</v>
      </c>
      <c r="P111" s="356">
        <f t="shared" si="64"/>
        <v>4000</v>
      </c>
      <c r="Q111" s="184">
        <f t="shared" si="64"/>
        <v>4000</v>
      </c>
      <c r="R111" s="184">
        <f t="shared" si="64"/>
        <v>4000</v>
      </c>
      <c r="S111" s="184">
        <f t="shared" si="64"/>
        <v>4000</v>
      </c>
      <c r="T111" s="184">
        <f t="shared" si="64"/>
        <v>4000</v>
      </c>
      <c r="U111" s="356">
        <f t="shared" si="64"/>
        <v>4000</v>
      </c>
      <c r="V111" s="184">
        <f t="shared" si="65"/>
        <v>4000</v>
      </c>
      <c r="W111" s="184">
        <f t="shared" si="65"/>
        <v>4000</v>
      </c>
      <c r="X111" s="184">
        <f t="shared" si="65"/>
        <v>4000</v>
      </c>
      <c r="Y111" s="184">
        <f t="shared" si="65"/>
        <v>4000</v>
      </c>
      <c r="Z111" s="356">
        <f t="shared" si="65"/>
        <v>4000</v>
      </c>
      <c r="AA111" s="184">
        <f t="shared" si="65"/>
        <v>4000</v>
      </c>
      <c r="AB111" s="184">
        <f t="shared" si="65"/>
        <v>4000</v>
      </c>
      <c r="AC111" s="184">
        <f t="shared" si="65"/>
        <v>4000</v>
      </c>
      <c r="AD111" s="184">
        <f t="shared" si="65"/>
        <v>4000</v>
      </c>
      <c r="AE111" s="356">
        <f t="shared" si="65"/>
        <v>4000</v>
      </c>
      <c r="AF111" s="73"/>
    </row>
    <row r="112" spans="2:32" s="83" customFormat="1" ht="12.75" customHeight="1">
      <c r="B112" s="107" t="s">
        <v>190</v>
      </c>
      <c r="C112"/>
      <c r="D112" s="184"/>
      <c r="E112" s="184"/>
      <c r="F112" s="184"/>
      <c r="G112" s="184"/>
      <c r="H112" s="184"/>
      <c r="I112" s="184"/>
      <c r="J112" s="184"/>
      <c r="K112" s="356"/>
      <c r="L112" s="397">
        <v>4000</v>
      </c>
      <c r="M112" s="184">
        <f t="shared" si="64"/>
        <v>4000</v>
      </c>
      <c r="N112" s="184">
        <f t="shared" si="64"/>
        <v>4000</v>
      </c>
      <c r="O112" s="184">
        <f t="shared" si="64"/>
        <v>4000</v>
      </c>
      <c r="P112" s="356">
        <f t="shared" si="64"/>
        <v>4000</v>
      </c>
      <c r="Q112" s="184">
        <f t="shared" si="64"/>
        <v>4000</v>
      </c>
      <c r="R112" s="184">
        <f t="shared" si="64"/>
        <v>4000</v>
      </c>
      <c r="S112" s="184">
        <f t="shared" si="64"/>
        <v>4000</v>
      </c>
      <c r="T112" s="184">
        <f t="shared" si="64"/>
        <v>4000</v>
      </c>
      <c r="U112" s="356">
        <f t="shared" si="64"/>
        <v>4000</v>
      </c>
      <c r="V112" s="184">
        <f t="shared" si="65"/>
        <v>4000</v>
      </c>
      <c r="W112" s="184">
        <f t="shared" si="65"/>
        <v>4000</v>
      </c>
      <c r="X112" s="184">
        <f t="shared" si="65"/>
        <v>4000</v>
      </c>
      <c r="Y112" s="184">
        <f t="shared" si="65"/>
        <v>4000</v>
      </c>
      <c r="Z112" s="356">
        <f t="shared" si="65"/>
        <v>4000</v>
      </c>
      <c r="AA112" s="184">
        <f t="shared" si="65"/>
        <v>4000</v>
      </c>
      <c r="AB112" s="184">
        <f t="shared" si="65"/>
        <v>4000</v>
      </c>
      <c r="AC112" s="184">
        <f t="shared" si="65"/>
        <v>4000</v>
      </c>
      <c r="AD112" s="184">
        <f t="shared" si="65"/>
        <v>4000</v>
      </c>
      <c r="AE112" s="356">
        <f t="shared" si="65"/>
        <v>4000</v>
      </c>
      <c r="AF112" s="73"/>
    </row>
    <row r="113" spans="2:32" s="83" customFormat="1" ht="12.75" customHeight="1">
      <c r="B113" s="105" t="s">
        <v>84</v>
      </c>
      <c r="C113"/>
      <c r="D113" s="184"/>
      <c r="E113" s="184"/>
      <c r="F113" s="184"/>
      <c r="G113" s="184"/>
      <c r="H113" s="184"/>
      <c r="I113" s="184"/>
      <c r="J113" s="184"/>
      <c r="K113" s="356"/>
      <c r="L113" s="184"/>
      <c r="M113" s="184"/>
      <c r="N113" s="184"/>
      <c r="O113" s="184"/>
      <c r="P113" s="356"/>
      <c r="Q113" s="184"/>
      <c r="R113" s="184"/>
      <c r="S113" s="184"/>
      <c r="T113" s="184"/>
      <c r="U113" s="356"/>
      <c r="V113" s="184"/>
      <c r="W113" s="184"/>
      <c r="X113" s="184"/>
      <c r="Y113" s="184"/>
      <c r="Z113" s="356"/>
      <c r="AA113" s="184"/>
      <c r="AB113" s="184"/>
      <c r="AC113" s="184"/>
      <c r="AD113" s="184"/>
      <c r="AE113" s="368"/>
      <c r="AF113" s="73"/>
    </row>
    <row r="114" spans="2:32" s="83" customFormat="1" ht="12.75" customHeight="1">
      <c r="B114" s="109" t="s">
        <v>134</v>
      </c>
      <c r="C114"/>
      <c r="D114" s="210">
        <v>2800</v>
      </c>
      <c r="E114" s="184">
        <f>D114</f>
        <v>2800</v>
      </c>
      <c r="F114" s="184">
        <f t="shared" ref="F114:U121" si="66">E114</f>
        <v>2800</v>
      </c>
      <c r="G114" s="184">
        <f t="shared" si="66"/>
        <v>2800</v>
      </c>
      <c r="H114" s="184">
        <f t="shared" si="66"/>
        <v>2800</v>
      </c>
      <c r="I114" s="184">
        <f t="shared" si="66"/>
        <v>2800</v>
      </c>
      <c r="J114" s="184">
        <f t="shared" si="66"/>
        <v>2800</v>
      </c>
      <c r="K114" s="356">
        <f t="shared" si="66"/>
        <v>2800</v>
      </c>
      <c r="L114" s="184">
        <f t="shared" si="66"/>
        <v>2800</v>
      </c>
      <c r="M114" s="184">
        <f t="shared" si="66"/>
        <v>2800</v>
      </c>
      <c r="N114" s="184">
        <f t="shared" si="66"/>
        <v>2800</v>
      </c>
      <c r="O114" s="184">
        <f t="shared" si="66"/>
        <v>2800</v>
      </c>
      <c r="P114" s="356">
        <f t="shared" si="66"/>
        <v>2800</v>
      </c>
      <c r="Q114" s="184">
        <f t="shared" si="66"/>
        <v>2800</v>
      </c>
      <c r="R114" s="184">
        <f t="shared" si="66"/>
        <v>2800</v>
      </c>
      <c r="S114" s="184">
        <f t="shared" si="66"/>
        <v>2800</v>
      </c>
      <c r="T114" s="184">
        <f t="shared" si="66"/>
        <v>2800</v>
      </c>
      <c r="U114" s="356">
        <f t="shared" si="66"/>
        <v>2800</v>
      </c>
      <c r="V114" s="184">
        <f t="shared" ref="V114:AE121" si="67">U114</f>
        <v>2800</v>
      </c>
      <c r="W114" s="184">
        <f t="shared" si="67"/>
        <v>2800</v>
      </c>
      <c r="X114" s="184">
        <f t="shared" si="67"/>
        <v>2800</v>
      </c>
      <c r="Y114" s="184">
        <f t="shared" si="67"/>
        <v>2800</v>
      </c>
      <c r="Z114" s="356">
        <f t="shared" si="67"/>
        <v>2800</v>
      </c>
      <c r="AA114" s="184">
        <f t="shared" si="67"/>
        <v>2800</v>
      </c>
      <c r="AB114" s="184">
        <f t="shared" si="67"/>
        <v>2800</v>
      </c>
      <c r="AC114" s="184">
        <f t="shared" si="67"/>
        <v>2800</v>
      </c>
      <c r="AD114" s="184">
        <f t="shared" si="67"/>
        <v>2800</v>
      </c>
      <c r="AE114" s="356">
        <f t="shared" si="67"/>
        <v>2800</v>
      </c>
      <c r="AF114" s="73"/>
    </row>
    <row r="115" spans="2:32" s="83" customFormat="1" ht="12.75" customHeight="1">
      <c r="B115" s="109" t="s">
        <v>135</v>
      </c>
      <c r="C115"/>
      <c r="D115" s="210">
        <v>3950</v>
      </c>
      <c r="E115" s="184">
        <f>D115</f>
        <v>3950</v>
      </c>
      <c r="F115" s="184">
        <f t="shared" si="66"/>
        <v>3950</v>
      </c>
      <c r="G115" s="184">
        <f t="shared" si="66"/>
        <v>3950</v>
      </c>
      <c r="H115" s="184">
        <f t="shared" si="66"/>
        <v>3950</v>
      </c>
      <c r="I115" s="184">
        <f t="shared" si="66"/>
        <v>3950</v>
      </c>
      <c r="J115" s="184">
        <f t="shared" si="66"/>
        <v>3950</v>
      </c>
      <c r="K115" s="356">
        <f t="shared" si="66"/>
        <v>3950</v>
      </c>
      <c r="L115" s="184">
        <f t="shared" si="66"/>
        <v>3950</v>
      </c>
      <c r="M115" s="184">
        <f t="shared" si="66"/>
        <v>3950</v>
      </c>
      <c r="N115" s="184">
        <f t="shared" si="66"/>
        <v>3950</v>
      </c>
      <c r="O115" s="184">
        <f t="shared" si="66"/>
        <v>3950</v>
      </c>
      <c r="P115" s="356">
        <f t="shared" si="66"/>
        <v>3950</v>
      </c>
      <c r="Q115" s="184">
        <f t="shared" si="66"/>
        <v>3950</v>
      </c>
      <c r="R115" s="184">
        <f t="shared" si="66"/>
        <v>3950</v>
      </c>
      <c r="S115" s="184">
        <f t="shared" si="66"/>
        <v>3950</v>
      </c>
      <c r="T115" s="184">
        <f t="shared" si="66"/>
        <v>3950</v>
      </c>
      <c r="U115" s="356">
        <f t="shared" si="66"/>
        <v>3950</v>
      </c>
      <c r="V115" s="184">
        <f t="shared" si="67"/>
        <v>3950</v>
      </c>
      <c r="W115" s="184">
        <f t="shared" si="67"/>
        <v>3950</v>
      </c>
      <c r="X115" s="184">
        <f t="shared" si="67"/>
        <v>3950</v>
      </c>
      <c r="Y115" s="184">
        <f t="shared" si="67"/>
        <v>3950</v>
      </c>
      <c r="Z115" s="356">
        <f t="shared" si="67"/>
        <v>3950</v>
      </c>
      <c r="AA115" s="184">
        <f t="shared" si="67"/>
        <v>3950</v>
      </c>
      <c r="AB115" s="184">
        <f t="shared" si="67"/>
        <v>3950</v>
      </c>
      <c r="AC115" s="184">
        <f t="shared" si="67"/>
        <v>3950</v>
      </c>
      <c r="AD115" s="184">
        <f t="shared" si="67"/>
        <v>3950</v>
      </c>
      <c r="AE115" s="356">
        <f t="shared" si="67"/>
        <v>3950</v>
      </c>
      <c r="AF115" s="73"/>
    </row>
    <row r="116" spans="2:32" s="83" customFormat="1" ht="12.75" customHeight="1">
      <c r="B116" s="109" t="s">
        <v>136</v>
      </c>
      <c r="C116"/>
      <c r="D116" s="210">
        <v>3600</v>
      </c>
      <c r="E116" s="184">
        <f>D116</f>
        <v>3600</v>
      </c>
      <c r="F116" s="184">
        <f t="shared" si="66"/>
        <v>3600</v>
      </c>
      <c r="G116" s="184">
        <f t="shared" si="66"/>
        <v>3600</v>
      </c>
      <c r="H116" s="184">
        <f t="shared" si="66"/>
        <v>3600</v>
      </c>
      <c r="I116" s="184">
        <f t="shared" si="66"/>
        <v>3600</v>
      </c>
      <c r="J116" s="184">
        <f t="shared" si="66"/>
        <v>3600</v>
      </c>
      <c r="K116" s="356">
        <f t="shared" si="66"/>
        <v>3600</v>
      </c>
      <c r="L116" s="184">
        <f t="shared" si="66"/>
        <v>3600</v>
      </c>
      <c r="M116" s="184">
        <f t="shared" si="66"/>
        <v>3600</v>
      </c>
      <c r="N116" s="184">
        <f t="shared" si="66"/>
        <v>3600</v>
      </c>
      <c r="O116" s="184">
        <f t="shared" si="66"/>
        <v>3600</v>
      </c>
      <c r="P116" s="356">
        <f t="shared" si="66"/>
        <v>3600</v>
      </c>
      <c r="Q116" s="184">
        <f t="shared" si="66"/>
        <v>3600</v>
      </c>
      <c r="R116" s="184">
        <f t="shared" si="66"/>
        <v>3600</v>
      </c>
      <c r="S116" s="184">
        <f t="shared" si="66"/>
        <v>3600</v>
      </c>
      <c r="T116" s="184">
        <f t="shared" si="66"/>
        <v>3600</v>
      </c>
      <c r="U116" s="356">
        <f t="shared" si="66"/>
        <v>3600</v>
      </c>
      <c r="V116" s="184">
        <f t="shared" si="67"/>
        <v>3600</v>
      </c>
      <c r="W116" s="184">
        <f t="shared" si="67"/>
        <v>3600</v>
      </c>
      <c r="X116" s="184">
        <f t="shared" si="67"/>
        <v>3600</v>
      </c>
      <c r="Y116" s="184">
        <f t="shared" si="67"/>
        <v>3600</v>
      </c>
      <c r="Z116" s="356">
        <f t="shared" si="67"/>
        <v>3600</v>
      </c>
      <c r="AA116" s="184">
        <f t="shared" si="67"/>
        <v>3600</v>
      </c>
      <c r="AB116" s="184">
        <f t="shared" si="67"/>
        <v>3600</v>
      </c>
      <c r="AC116" s="184">
        <f t="shared" si="67"/>
        <v>3600</v>
      </c>
      <c r="AD116" s="184">
        <f t="shared" si="67"/>
        <v>3600</v>
      </c>
      <c r="AE116" s="356">
        <f t="shared" si="67"/>
        <v>3600</v>
      </c>
      <c r="AF116" s="73"/>
    </row>
    <row r="117" spans="2:32" s="83" customFormat="1" ht="12.75" customHeight="1">
      <c r="B117" s="109" t="s">
        <v>137</v>
      </c>
      <c r="C117"/>
      <c r="D117" s="210">
        <v>2900</v>
      </c>
      <c r="E117" s="184">
        <f>D117</f>
        <v>2900</v>
      </c>
      <c r="F117" s="184">
        <f t="shared" si="66"/>
        <v>2900</v>
      </c>
      <c r="G117" s="184">
        <f t="shared" si="66"/>
        <v>2900</v>
      </c>
      <c r="H117" s="184">
        <f t="shared" si="66"/>
        <v>2900</v>
      </c>
      <c r="I117" s="184">
        <f t="shared" si="66"/>
        <v>2900</v>
      </c>
      <c r="J117" s="184">
        <f t="shared" si="66"/>
        <v>2900</v>
      </c>
      <c r="K117" s="356">
        <f t="shared" si="66"/>
        <v>2900</v>
      </c>
      <c r="L117" s="184">
        <f t="shared" si="66"/>
        <v>2900</v>
      </c>
      <c r="M117" s="184">
        <f t="shared" si="66"/>
        <v>2900</v>
      </c>
      <c r="N117" s="184">
        <f t="shared" si="66"/>
        <v>2900</v>
      </c>
      <c r="O117" s="184">
        <f t="shared" si="66"/>
        <v>2900</v>
      </c>
      <c r="P117" s="356">
        <f t="shared" si="66"/>
        <v>2900</v>
      </c>
      <c r="Q117" s="184">
        <f t="shared" si="66"/>
        <v>2900</v>
      </c>
      <c r="R117" s="184">
        <f t="shared" si="66"/>
        <v>2900</v>
      </c>
      <c r="S117" s="184">
        <f t="shared" si="66"/>
        <v>2900</v>
      </c>
      <c r="T117" s="184">
        <f t="shared" si="66"/>
        <v>2900</v>
      </c>
      <c r="U117" s="356">
        <f t="shared" si="66"/>
        <v>2900</v>
      </c>
      <c r="V117" s="184">
        <f t="shared" si="67"/>
        <v>2900</v>
      </c>
      <c r="W117" s="184">
        <f t="shared" si="67"/>
        <v>2900</v>
      </c>
      <c r="X117" s="184">
        <f t="shared" si="67"/>
        <v>2900</v>
      </c>
      <c r="Y117" s="184">
        <f t="shared" si="67"/>
        <v>2900</v>
      </c>
      <c r="Z117" s="356">
        <f t="shared" si="67"/>
        <v>2900</v>
      </c>
      <c r="AA117" s="184">
        <f t="shared" si="67"/>
        <v>2900</v>
      </c>
      <c r="AB117" s="184">
        <f t="shared" si="67"/>
        <v>2900</v>
      </c>
      <c r="AC117" s="184">
        <f t="shared" si="67"/>
        <v>2900</v>
      </c>
      <c r="AD117" s="184">
        <f t="shared" si="67"/>
        <v>2900</v>
      </c>
      <c r="AE117" s="356">
        <f t="shared" si="67"/>
        <v>2900</v>
      </c>
      <c r="AF117" s="73"/>
    </row>
    <row r="118" spans="2:32" s="83" customFormat="1" ht="12.75" customHeight="1">
      <c r="B118" s="109" t="s">
        <v>138</v>
      </c>
      <c r="C118"/>
      <c r="D118" s="210">
        <v>3200</v>
      </c>
      <c r="E118" s="184">
        <f>D118</f>
        <v>3200</v>
      </c>
      <c r="F118" s="184">
        <f t="shared" si="66"/>
        <v>3200</v>
      </c>
      <c r="G118" s="184">
        <f t="shared" si="66"/>
        <v>3200</v>
      </c>
      <c r="H118" s="184">
        <f t="shared" si="66"/>
        <v>3200</v>
      </c>
      <c r="I118" s="184">
        <f t="shared" si="66"/>
        <v>3200</v>
      </c>
      <c r="J118" s="184">
        <f t="shared" si="66"/>
        <v>3200</v>
      </c>
      <c r="K118" s="356">
        <f t="shared" si="66"/>
        <v>3200</v>
      </c>
      <c r="L118" s="184">
        <f t="shared" si="66"/>
        <v>3200</v>
      </c>
      <c r="M118" s="184">
        <f t="shared" si="66"/>
        <v>3200</v>
      </c>
      <c r="N118" s="184">
        <f t="shared" si="66"/>
        <v>3200</v>
      </c>
      <c r="O118" s="184">
        <f t="shared" si="66"/>
        <v>3200</v>
      </c>
      <c r="P118" s="356">
        <f t="shared" si="66"/>
        <v>3200</v>
      </c>
      <c r="Q118" s="184">
        <f t="shared" si="66"/>
        <v>3200</v>
      </c>
      <c r="R118" s="184">
        <f t="shared" si="66"/>
        <v>3200</v>
      </c>
      <c r="S118" s="184">
        <f t="shared" si="66"/>
        <v>3200</v>
      </c>
      <c r="T118" s="184">
        <f t="shared" si="66"/>
        <v>3200</v>
      </c>
      <c r="U118" s="356">
        <f t="shared" si="66"/>
        <v>3200</v>
      </c>
      <c r="V118" s="184">
        <f t="shared" si="67"/>
        <v>3200</v>
      </c>
      <c r="W118" s="184">
        <f t="shared" si="67"/>
        <v>3200</v>
      </c>
      <c r="X118" s="184">
        <f t="shared" si="67"/>
        <v>3200</v>
      </c>
      <c r="Y118" s="184">
        <f t="shared" si="67"/>
        <v>3200</v>
      </c>
      <c r="Z118" s="356">
        <f t="shared" si="67"/>
        <v>3200</v>
      </c>
      <c r="AA118" s="184">
        <f t="shared" si="67"/>
        <v>3200</v>
      </c>
      <c r="AB118" s="184">
        <f t="shared" si="67"/>
        <v>3200</v>
      </c>
      <c r="AC118" s="184">
        <f t="shared" si="67"/>
        <v>3200</v>
      </c>
      <c r="AD118" s="184">
        <f t="shared" si="67"/>
        <v>3200</v>
      </c>
      <c r="AE118" s="356">
        <f t="shared" si="67"/>
        <v>3200</v>
      </c>
      <c r="AF118" s="73"/>
    </row>
    <row r="119" spans="2:32" s="83" customFormat="1" ht="12.75" customHeight="1">
      <c r="B119" s="631" t="s">
        <v>350</v>
      </c>
      <c r="C119"/>
      <c r="D119" s="184"/>
      <c r="E119" s="184"/>
      <c r="F119" s="184"/>
      <c r="G119" s="184"/>
      <c r="H119" s="184"/>
      <c r="I119" s="184"/>
      <c r="J119" s="184"/>
      <c r="K119" s="385">
        <v>4500</v>
      </c>
      <c r="L119" s="184">
        <f t="shared" si="66"/>
        <v>4500</v>
      </c>
      <c r="M119" s="184">
        <f t="shared" si="66"/>
        <v>4500</v>
      </c>
      <c r="N119" s="184">
        <f t="shared" si="66"/>
        <v>4500</v>
      </c>
      <c r="O119" s="184">
        <f t="shared" si="66"/>
        <v>4500</v>
      </c>
      <c r="P119" s="356">
        <f t="shared" si="66"/>
        <v>4500</v>
      </c>
      <c r="Q119" s="184">
        <f t="shared" si="66"/>
        <v>4500</v>
      </c>
      <c r="R119" s="184">
        <f t="shared" si="66"/>
        <v>4500</v>
      </c>
      <c r="S119" s="184">
        <f t="shared" si="66"/>
        <v>4500</v>
      </c>
      <c r="T119" s="184">
        <f t="shared" si="66"/>
        <v>4500</v>
      </c>
      <c r="U119" s="356">
        <f t="shared" si="66"/>
        <v>4500</v>
      </c>
      <c r="V119" s="184">
        <f t="shared" si="67"/>
        <v>4500</v>
      </c>
      <c r="W119" s="184">
        <f t="shared" si="67"/>
        <v>4500</v>
      </c>
      <c r="X119" s="184">
        <f t="shared" si="67"/>
        <v>4500</v>
      </c>
      <c r="Y119" s="184">
        <f t="shared" si="67"/>
        <v>4500</v>
      </c>
      <c r="Z119" s="356">
        <f t="shared" si="67"/>
        <v>4500</v>
      </c>
      <c r="AA119" s="184">
        <f t="shared" si="67"/>
        <v>4500</v>
      </c>
      <c r="AB119" s="184">
        <f t="shared" si="67"/>
        <v>4500</v>
      </c>
      <c r="AC119" s="184">
        <f t="shared" si="67"/>
        <v>4500</v>
      </c>
      <c r="AD119" s="184">
        <f t="shared" si="67"/>
        <v>4500</v>
      </c>
      <c r="AE119" s="356">
        <f t="shared" si="67"/>
        <v>4500</v>
      </c>
      <c r="AF119" s="73"/>
    </row>
    <row r="120" spans="2:32" s="83" customFormat="1" ht="12.75" customHeight="1">
      <c r="B120" s="630" t="s">
        <v>349</v>
      </c>
      <c r="C120"/>
      <c r="D120" s="184"/>
      <c r="E120" s="184"/>
      <c r="F120" s="184"/>
      <c r="G120" s="184"/>
      <c r="H120" s="184"/>
      <c r="I120" s="184"/>
      <c r="J120" s="184"/>
      <c r="K120" s="385">
        <v>4250</v>
      </c>
      <c r="L120" s="184">
        <f t="shared" si="66"/>
        <v>4250</v>
      </c>
      <c r="M120" s="184">
        <f t="shared" si="66"/>
        <v>4250</v>
      </c>
      <c r="N120" s="184">
        <f t="shared" si="66"/>
        <v>4250</v>
      </c>
      <c r="O120" s="184">
        <f t="shared" si="66"/>
        <v>4250</v>
      </c>
      <c r="P120" s="356">
        <f t="shared" si="66"/>
        <v>4250</v>
      </c>
      <c r="Q120" s="184">
        <f t="shared" si="66"/>
        <v>4250</v>
      </c>
      <c r="R120" s="184">
        <f t="shared" si="66"/>
        <v>4250</v>
      </c>
      <c r="S120" s="184">
        <f t="shared" si="66"/>
        <v>4250</v>
      </c>
      <c r="T120" s="184">
        <f t="shared" si="66"/>
        <v>4250</v>
      </c>
      <c r="U120" s="356">
        <f t="shared" si="66"/>
        <v>4250</v>
      </c>
      <c r="V120" s="184">
        <f t="shared" si="67"/>
        <v>4250</v>
      </c>
      <c r="W120" s="184">
        <f t="shared" si="67"/>
        <v>4250</v>
      </c>
      <c r="X120" s="184">
        <f t="shared" si="67"/>
        <v>4250</v>
      </c>
      <c r="Y120" s="184">
        <f t="shared" si="67"/>
        <v>4250</v>
      </c>
      <c r="Z120" s="356">
        <f t="shared" si="67"/>
        <v>4250</v>
      </c>
      <c r="AA120" s="184">
        <f t="shared" si="67"/>
        <v>4250</v>
      </c>
      <c r="AB120" s="184">
        <f t="shared" si="67"/>
        <v>4250</v>
      </c>
      <c r="AC120" s="184">
        <f t="shared" si="67"/>
        <v>4250</v>
      </c>
      <c r="AD120" s="184">
        <f t="shared" si="67"/>
        <v>4250</v>
      </c>
      <c r="AE120" s="356">
        <f t="shared" si="67"/>
        <v>4250</v>
      </c>
      <c r="AF120" s="73"/>
    </row>
    <row r="121" spans="2:32" s="83" customFormat="1" ht="12.75" customHeight="1">
      <c r="B121" s="107" t="s">
        <v>190</v>
      </c>
      <c r="C121"/>
      <c r="D121" s="184"/>
      <c r="E121" s="184"/>
      <c r="F121" s="184"/>
      <c r="G121" s="184"/>
      <c r="H121" s="184"/>
      <c r="I121" s="184"/>
      <c r="J121" s="184"/>
      <c r="K121" s="356"/>
      <c r="L121" s="397">
        <v>4250</v>
      </c>
      <c r="M121" s="184">
        <f t="shared" si="66"/>
        <v>4250</v>
      </c>
      <c r="N121" s="184">
        <f t="shared" si="66"/>
        <v>4250</v>
      </c>
      <c r="O121" s="184">
        <f t="shared" si="66"/>
        <v>4250</v>
      </c>
      <c r="P121" s="356">
        <f t="shared" si="66"/>
        <v>4250</v>
      </c>
      <c r="Q121" s="184">
        <f t="shared" si="66"/>
        <v>4250</v>
      </c>
      <c r="R121" s="184">
        <f t="shared" si="66"/>
        <v>4250</v>
      </c>
      <c r="S121" s="184">
        <f t="shared" si="66"/>
        <v>4250</v>
      </c>
      <c r="T121" s="184">
        <f t="shared" si="66"/>
        <v>4250</v>
      </c>
      <c r="U121" s="356">
        <f t="shared" si="66"/>
        <v>4250</v>
      </c>
      <c r="V121" s="184">
        <f t="shared" si="67"/>
        <v>4250</v>
      </c>
      <c r="W121" s="184">
        <f t="shared" si="67"/>
        <v>4250</v>
      </c>
      <c r="X121" s="184">
        <f t="shared" si="67"/>
        <v>4250</v>
      </c>
      <c r="Y121" s="184">
        <f t="shared" si="67"/>
        <v>4250</v>
      </c>
      <c r="Z121" s="356">
        <f t="shared" si="67"/>
        <v>4250</v>
      </c>
      <c r="AA121" s="184">
        <f t="shared" si="67"/>
        <v>4250</v>
      </c>
      <c r="AB121" s="184">
        <f t="shared" si="67"/>
        <v>4250</v>
      </c>
      <c r="AC121" s="184">
        <f t="shared" si="67"/>
        <v>4250</v>
      </c>
      <c r="AD121" s="184">
        <f t="shared" si="67"/>
        <v>4250</v>
      </c>
      <c r="AE121" s="356">
        <f t="shared" si="67"/>
        <v>4250</v>
      </c>
      <c r="AF121" s="73"/>
    </row>
    <row r="122" spans="2:32" s="83" customFormat="1" ht="12.75" customHeight="1">
      <c r="B122" s="69"/>
      <c r="C122" s="215"/>
      <c r="D122" s="184"/>
      <c r="E122" s="184"/>
      <c r="F122" s="184"/>
      <c r="G122" s="184"/>
      <c r="H122" s="184"/>
      <c r="I122" s="184"/>
      <c r="J122" s="184"/>
      <c r="K122" s="356"/>
      <c r="L122" s="184"/>
      <c r="M122" s="184"/>
      <c r="N122" s="184"/>
      <c r="O122" s="184"/>
      <c r="P122" s="356"/>
      <c r="Q122" s="184"/>
      <c r="R122" s="184"/>
      <c r="S122" s="184"/>
      <c r="T122" s="184"/>
      <c r="U122" s="356"/>
      <c r="V122" s="184"/>
      <c r="W122" s="184"/>
      <c r="X122" s="184"/>
      <c r="Y122" s="184"/>
      <c r="Z122" s="356"/>
      <c r="AA122" s="184"/>
      <c r="AB122" s="184"/>
      <c r="AC122" s="184"/>
      <c r="AD122" s="184"/>
      <c r="AE122" s="368"/>
      <c r="AF122" s="73"/>
    </row>
    <row r="123" spans="2:32" s="83" customFormat="1" ht="12.75" customHeight="1">
      <c r="B123" s="102" t="s">
        <v>191</v>
      </c>
      <c r="C123" s="215"/>
      <c r="F123"/>
      <c r="G123"/>
      <c r="H123" s="184"/>
      <c r="I123" s="184"/>
      <c r="J123" s="184"/>
      <c r="K123" s="356"/>
      <c r="L123" s="184"/>
      <c r="M123" s="184"/>
      <c r="N123" s="184"/>
      <c r="O123" s="184"/>
      <c r="P123" s="356"/>
      <c r="Q123" s="184"/>
      <c r="R123" s="184"/>
      <c r="S123" s="184"/>
      <c r="T123" s="184"/>
      <c r="U123" s="356"/>
      <c r="V123" s="184"/>
      <c r="W123" s="184"/>
      <c r="X123" s="184"/>
      <c r="Y123" s="184"/>
      <c r="Z123" s="356"/>
      <c r="AA123" s="184"/>
      <c r="AB123" s="184"/>
      <c r="AC123" s="184"/>
      <c r="AD123" s="184"/>
      <c r="AE123" s="368"/>
      <c r="AF123" s="73"/>
    </row>
    <row r="124" spans="2:32" s="83" customFormat="1" ht="12.75" customHeight="1">
      <c r="B124" s="105" t="s">
        <v>85</v>
      </c>
      <c r="C124" s="215"/>
      <c r="D124" s="308"/>
      <c r="E124" s="308"/>
      <c r="F124" s="308"/>
      <c r="G124" s="308"/>
      <c r="H124" s="308"/>
      <c r="I124" s="308"/>
      <c r="J124" s="308"/>
      <c r="K124" s="368"/>
      <c r="L124" s="308"/>
      <c r="M124" s="308"/>
      <c r="N124" s="308"/>
      <c r="O124" s="308"/>
      <c r="P124" s="368"/>
      <c r="Q124" s="308"/>
      <c r="R124" s="308"/>
      <c r="S124" s="308"/>
      <c r="T124" s="308"/>
      <c r="U124" s="368"/>
      <c r="V124" s="308"/>
      <c r="W124" s="308"/>
      <c r="X124" s="308"/>
      <c r="Y124" s="308"/>
      <c r="Z124" s="368"/>
      <c r="AA124" s="308"/>
      <c r="AB124" s="184"/>
      <c r="AC124" s="184"/>
      <c r="AD124" s="184"/>
      <c r="AE124" s="368"/>
      <c r="AF124" s="73"/>
    </row>
    <row r="125" spans="2:32" s="83" customFormat="1" ht="12.75" customHeight="1">
      <c r="B125" s="109" t="s">
        <v>130</v>
      </c>
      <c r="C125" s="215"/>
      <c r="D125" s="184">
        <f t="shared" ref="D125:AE125" si="68">D40*D106/1000</f>
        <v>8.4149999999999991</v>
      </c>
      <c r="E125" s="184">
        <f t="shared" si="68"/>
        <v>8.4149999999999991</v>
      </c>
      <c r="F125" s="184">
        <f t="shared" si="68"/>
        <v>8.4149999999999991</v>
      </c>
      <c r="G125" s="184">
        <f t="shared" si="68"/>
        <v>8.4149999999999991</v>
      </c>
      <c r="H125" s="184">
        <f t="shared" si="68"/>
        <v>0</v>
      </c>
      <c r="I125" s="184">
        <f t="shared" si="68"/>
        <v>0</v>
      </c>
      <c r="J125" s="184">
        <f t="shared" si="68"/>
        <v>0</v>
      </c>
      <c r="K125" s="356">
        <f t="shared" si="68"/>
        <v>0</v>
      </c>
      <c r="L125" s="184">
        <f t="shared" si="68"/>
        <v>0</v>
      </c>
      <c r="M125" s="184">
        <f t="shared" si="68"/>
        <v>0</v>
      </c>
      <c r="N125" s="184">
        <f t="shared" si="68"/>
        <v>0</v>
      </c>
      <c r="O125" s="184">
        <f t="shared" si="68"/>
        <v>0</v>
      </c>
      <c r="P125" s="356">
        <f t="shared" si="68"/>
        <v>0</v>
      </c>
      <c r="Q125" s="184">
        <f t="shared" si="68"/>
        <v>0</v>
      </c>
      <c r="R125" s="184">
        <f t="shared" si="68"/>
        <v>0</v>
      </c>
      <c r="S125" s="184">
        <f t="shared" si="68"/>
        <v>0</v>
      </c>
      <c r="T125" s="184">
        <f t="shared" si="68"/>
        <v>0</v>
      </c>
      <c r="U125" s="356">
        <f t="shared" si="68"/>
        <v>0</v>
      </c>
      <c r="V125" s="184">
        <f t="shared" si="68"/>
        <v>0</v>
      </c>
      <c r="W125" s="184">
        <f t="shared" si="68"/>
        <v>0</v>
      </c>
      <c r="X125" s="184">
        <f t="shared" si="68"/>
        <v>0</v>
      </c>
      <c r="Y125" s="184">
        <f t="shared" si="68"/>
        <v>0</v>
      </c>
      <c r="Z125" s="356">
        <f t="shared" si="68"/>
        <v>0</v>
      </c>
      <c r="AA125" s="184">
        <f t="shared" si="68"/>
        <v>0</v>
      </c>
      <c r="AB125" s="184">
        <f t="shared" si="68"/>
        <v>0</v>
      </c>
      <c r="AC125" s="184">
        <f t="shared" si="68"/>
        <v>0</v>
      </c>
      <c r="AD125" s="184">
        <f t="shared" si="68"/>
        <v>0</v>
      </c>
      <c r="AE125" s="356">
        <f t="shared" si="68"/>
        <v>0</v>
      </c>
      <c r="AF125" s="73"/>
    </row>
    <row r="126" spans="2:32" s="83" customFormat="1" ht="12.75" customHeight="1">
      <c r="B126" s="109" t="s">
        <v>131</v>
      </c>
      <c r="C126" s="215"/>
      <c r="D126" s="184">
        <f t="shared" ref="D126:AE126" si="69">D41*D107/1000</f>
        <v>92</v>
      </c>
      <c r="E126" s="184">
        <f t="shared" si="69"/>
        <v>92</v>
      </c>
      <c r="F126" s="184">
        <f t="shared" si="69"/>
        <v>92</v>
      </c>
      <c r="G126" s="184">
        <f t="shared" si="69"/>
        <v>92</v>
      </c>
      <c r="H126" s="184">
        <f t="shared" si="69"/>
        <v>92</v>
      </c>
      <c r="I126" s="184">
        <f t="shared" si="69"/>
        <v>92</v>
      </c>
      <c r="J126" s="184">
        <f t="shared" si="69"/>
        <v>92</v>
      </c>
      <c r="K126" s="356">
        <f t="shared" si="69"/>
        <v>92</v>
      </c>
      <c r="L126" s="184">
        <f t="shared" si="69"/>
        <v>92</v>
      </c>
      <c r="M126" s="184">
        <f t="shared" si="69"/>
        <v>92</v>
      </c>
      <c r="N126" s="184">
        <f t="shared" si="69"/>
        <v>92</v>
      </c>
      <c r="O126" s="184">
        <f t="shared" si="69"/>
        <v>92</v>
      </c>
      <c r="P126" s="356">
        <f t="shared" si="69"/>
        <v>92</v>
      </c>
      <c r="Q126" s="184">
        <f t="shared" si="69"/>
        <v>0</v>
      </c>
      <c r="R126" s="184">
        <f t="shared" si="69"/>
        <v>0</v>
      </c>
      <c r="S126" s="184">
        <f t="shared" si="69"/>
        <v>0</v>
      </c>
      <c r="T126" s="184">
        <f t="shared" si="69"/>
        <v>0</v>
      </c>
      <c r="U126" s="356">
        <f t="shared" si="69"/>
        <v>0</v>
      </c>
      <c r="V126" s="184">
        <f t="shared" si="69"/>
        <v>0</v>
      </c>
      <c r="W126" s="184">
        <f t="shared" si="69"/>
        <v>0</v>
      </c>
      <c r="X126" s="184">
        <f t="shared" si="69"/>
        <v>0</v>
      </c>
      <c r="Y126" s="184">
        <f t="shared" si="69"/>
        <v>0</v>
      </c>
      <c r="Z126" s="356">
        <f t="shared" si="69"/>
        <v>0</v>
      </c>
      <c r="AA126" s="184">
        <f t="shared" si="69"/>
        <v>0</v>
      </c>
      <c r="AB126" s="184">
        <f t="shared" si="69"/>
        <v>0</v>
      </c>
      <c r="AC126" s="184">
        <f t="shared" si="69"/>
        <v>0</v>
      </c>
      <c r="AD126" s="184">
        <f t="shared" si="69"/>
        <v>0</v>
      </c>
      <c r="AE126" s="356">
        <f t="shared" si="69"/>
        <v>0</v>
      </c>
      <c r="AF126" s="73"/>
    </row>
    <row r="127" spans="2:32" s="83" customFormat="1" ht="12.75" customHeight="1">
      <c r="B127" s="110" t="s">
        <v>132</v>
      </c>
      <c r="C127" s="215"/>
      <c r="D127" s="184">
        <f t="shared" ref="D127:AE127" si="70">D42*D108/1000</f>
        <v>24.12</v>
      </c>
      <c r="E127" s="184">
        <f t="shared" si="70"/>
        <v>24.12</v>
      </c>
      <c r="F127" s="184">
        <f t="shared" si="70"/>
        <v>24.12</v>
      </c>
      <c r="G127" s="184">
        <f t="shared" si="70"/>
        <v>24.12</v>
      </c>
      <c r="H127" s="184">
        <f t="shared" si="70"/>
        <v>24.12</v>
      </c>
      <c r="I127" s="184">
        <f t="shared" si="70"/>
        <v>24.12</v>
      </c>
      <c r="J127" s="184">
        <f t="shared" si="70"/>
        <v>24.12</v>
      </c>
      <c r="K127" s="356">
        <f t="shared" si="70"/>
        <v>24.12</v>
      </c>
      <c r="L127" s="184">
        <f t="shared" si="70"/>
        <v>24.12</v>
      </c>
      <c r="M127" s="184">
        <f t="shared" si="70"/>
        <v>24.12</v>
      </c>
      <c r="N127" s="184">
        <f t="shared" si="70"/>
        <v>24.12</v>
      </c>
      <c r="O127" s="184">
        <f t="shared" si="70"/>
        <v>24.12</v>
      </c>
      <c r="P127" s="356">
        <f t="shared" si="70"/>
        <v>24.12</v>
      </c>
      <c r="Q127" s="184">
        <f t="shared" si="70"/>
        <v>24.12</v>
      </c>
      <c r="R127" s="184">
        <f t="shared" si="70"/>
        <v>24.12</v>
      </c>
      <c r="S127" s="184">
        <f t="shared" si="70"/>
        <v>24.12</v>
      </c>
      <c r="T127" s="184">
        <f t="shared" si="70"/>
        <v>24.12</v>
      </c>
      <c r="U127" s="356">
        <f t="shared" si="70"/>
        <v>24.12</v>
      </c>
      <c r="V127" s="184">
        <f t="shared" si="70"/>
        <v>24.12</v>
      </c>
      <c r="W127" s="184">
        <f t="shared" si="70"/>
        <v>24.12</v>
      </c>
      <c r="X127" s="184">
        <f t="shared" si="70"/>
        <v>24.12</v>
      </c>
      <c r="Y127" s="184">
        <f t="shared" si="70"/>
        <v>24.12</v>
      </c>
      <c r="Z127" s="356">
        <f t="shared" si="70"/>
        <v>0</v>
      </c>
      <c r="AA127" s="184">
        <f t="shared" si="70"/>
        <v>0</v>
      </c>
      <c r="AB127" s="184">
        <f t="shared" si="70"/>
        <v>0</v>
      </c>
      <c r="AC127" s="184">
        <f t="shared" si="70"/>
        <v>0</v>
      </c>
      <c r="AD127" s="184">
        <f t="shared" si="70"/>
        <v>0</v>
      </c>
      <c r="AE127" s="356">
        <f t="shared" si="70"/>
        <v>0</v>
      </c>
      <c r="AF127" s="73"/>
    </row>
    <row r="128" spans="2:32" s="83" customFormat="1" ht="12.75" customHeight="1">
      <c r="B128" s="110" t="s">
        <v>133</v>
      </c>
      <c r="C128" s="215"/>
      <c r="D128" s="184">
        <f t="shared" ref="D128:AE128" si="71">D43*D109/1000</f>
        <v>12.06</v>
      </c>
      <c r="E128" s="184">
        <f t="shared" si="71"/>
        <v>12.06</v>
      </c>
      <c r="F128" s="184">
        <f t="shared" si="71"/>
        <v>12.06</v>
      </c>
      <c r="G128" s="184">
        <f t="shared" si="71"/>
        <v>12.06</v>
      </c>
      <c r="H128" s="184">
        <f t="shared" si="71"/>
        <v>12.06</v>
      </c>
      <c r="I128" s="184">
        <f t="shared" si="71"/>
        <v>12.06</v>
      </c>
      <c r="J128" s="184">
        <f t="shared" si="71"/>
        <v>12.06</v>
      </c>
      <c r="K128" s="356">
        <f t="shared" si="71"/>
        <v>12.06</v>
      </c>
      <c r="L128" s="184">
        <f t="shared" si="71"/>
        <v>12.06</v>
      </c>
      <c r="M128" s="184">
        <f t="shared" si="71"/>
        <v>12.06</v>
      </c>
      <c r="N128" s="184">
        <f t="shared" si="71"/>
        <v>12.06</v>
      </c>
      <c r="O128" s="184">
        <f t="shared" si="71"/>
        <v>12.06</v>
      </c>
      <c r="P128" s="356">
        <f t="shared" si="71"/>
        <v>12.06</v>
      </c>
      <c r="Q128" s="184">
        <f t="shared" si="71"/>
        <v>12.06</v>
      </c>
      <c r="R128" s="184">
        <f t="shared" si="71"/>
        <v>12.06</v>
      </c>
      <c r="S128" s="184">
        <f t="shared" si="71"/>
        <v>12.06</v>
      </c>
      <c r="T128" s="184">
        <f t="shared" si="71"/>
        <v>12.06</v>
      </c>
      <c r="U128" s="356">
        <f t="shared" si="71"/>
        <v>12.06</v>
      </c>
      <c r="V128" s="184">
        <f t="shared" si="71"/>
        <v>12.06</v>
      </c>
      <c r="W128" s="184">
        <f t="shared" si="71"/>
        <v>12.06</v>
      </c>
      <c r="X128" s="184">
        <f t="shared" si="71"/>
        <v>12.06</v>
      </c>
      <c r="Y128" s="184">
        <f t="shared" si="71"/>
        <v>12.06</v>
      </c>
      <c r="Z128" s="356">
        <f t="shared" si="71"/>
        <v>12.06</v>
      </c>
      <c r="AA128" s="184">
        <f t="shared" si="71"/>
        <v>12.06</v>
      </c>
      <c r="AB128" s="184">
        <f t="shared" si="71"/>
        <v>0</v>
      </c>
      <c r="AC128" s="184">
        <f t="shared" si="71"/>
        <v>0</v>
      </c>
      <c r="AD128" s="184">
        <f t="shared" si="71"/>
        <v>0</v>
      </c>
      <c r="AE128" s="356">
        <f t="shared" si="71"/>
        <v>0</v>
      </c>
      <c r="AF128" s="73"/>
    </row>
    <row r="129" spans="2:32" s="83" customFormat="1" ht="12.75" customHeight="1">
      <c r="B129" s="631" t="s">
        <v>350</v>
      </c>
      <c r="C129" s="215"/>
      <c r="D129" s="184">
        <f t="shared" ref="D129:AE129" si="72">D44*D110/1000</f>
        <v>0</v>
      </c>
      <c r="E129" s="184">
        <f t="shared" si="72"/>
        <v>0</v>
      </c>
      <c r="F129" s="184">
        <f t="shared" si="72"/>
        <v>0</v>
      </c>
      <c r="G129" s="184">
        <f t="shared" si="72"/>
        <v>0</v>
      </c>
      <c r="H129" s="184">
        <f t="shared" si="72"/>
        <v>0</v>
      </c>
      <c r="I129" s="184">
        <f t="shared" si="72"/>
        <v>0</v>
      </c>
      <c r="J129" s="184">
        <f t="shared" si="72"/>
        <v>0</v>
      </c>
      <c r="K129" s="356">
        <f t="shared" si="72"/>
        <v>700</v>
      </c>
      <c r="L129" s="184">
        <f t="shared" si="72"/>
        <v>700</v>
      </c>
      <c r="M129" s="184">
        <f t="shared" si="72"/>
        <v>700</v>
      </c>
      <c r="N129" s="184">
        <f t="shared" si="72"/>
        <v>700</v>
      </c>
      <c r="O129" s="184">
        <f t="shared" si="72"/>
        <v>700</v>
      </c>
      <c r="P129" s="356">
        <f t="shared" si="72"/>
        <v>700</v>
      </c>
      <c r="Q129" s="184">
        <f t="shared" si="72"/>
        <v>700</v>
      </c>
      <c r="R129" s="184">
        <f t="shared" si="72"/>
        <v>700</v>
      </c>
      <c r="S129" s="184">
        <f t="shared" si="72"/>
        <v>700</v>
      </c>
      <c r="T129" s="184">
        <f t="shared" si="72"/>
        <v>700</v>
      </c>
      <c r="U129" s="356">
        <f t="shared" si="72"/>
        <v>700</v>
      </c>
      <c r="V129" s="184">
        <f t="shared" si="72"/>
        <v>700</v>
      </c>
      <c r="W129" s="184">
        <f t="shared" si="72"/>
        <v>700</v>
      </c>
      <c r="X129" s="184">
        <f t="shared" si="72"/>
        <v>700</v>
      </c>
      <c r="Y129" s="184">
        <f t="shared" si="72"/>
        <v>700</v>
      </c>
      <c r="Z129" s="356">
        <f t="shared" si="72"/>
        <v>700</v>
      </c>
      <c r="AA129" s="184">
        <f t="shared" si="72"/>
        <v>700</v>
      </c>
      <c r="AB129" s="184">
        <f t="shared" si="72"/>
        <v>700</v>
      </c>
      <c r="AC129" s="184">
        <f t="shared" si="72"/>
        <v>700</v>
      </c>
      <c r="AD129" s="184">
        <f t="shared" si="72"/>
        <v>700</v>
      </c>
      <c r="AE129" s="356">
        <f t="shared" si="72"/>
        <v>700</v>
      </c>
      <c r="AF129" s="73"/>
    </row>
    <row r="130" spans="2:32" s="83" customFormat="1" ht="12.75" customHeight="1">
      <c r="B130" s="630" t="s">
        <v>349</v>
      </c>
      <c r="C130" s="215"/>
      <c r="D130" s="184">
        <f>D45*D111/1000</f>
        <v>0</v>
      </c>
      <c r="E130" s="184">
        <f t="shared" ref="E130:AE130" si="73">E45*E111/1000</f>
        <v>0</v>
      </c>
      <c r="F130" s="184">
        <f t="shared" si="73"/>
        <v>0</v>
      </c>
      <c r="G130" s="184">
        <f t="shared" si="73"/>
        <v>0</v>
      </c>
      <c r="H130" s="184">
        <f t="shared" si="73"/>
        <v>0</v>
      </c>
      <c r="I130" s="184">
        <f t="shared" si="73"/>
        <v>0</v>
      </c>
      <c r="J130" s="184">
        <f t="shared" si="73"/>
        <v>0</v>
      </c>
      <c r="K130" s="356">
        <f t="shared" si="73"/>
        <v>44</v>
      </c>
      <c r="L130" s="184">
        <f t="shared" si="73"/>
        <v>44</v>
      </c>
      <c r="M130" s="184">
        <f t="shared" si="73"/>
        <v>44</v>
      </c>
      <c r="N130" s="184">
        <f t="shared" si="73"/>
        <v>44</v>
      </c>
      <c r="O130" s="184">
        <f t="shared" si="73"/>
        <v>44</v>
      </c>
      <c r="P130" s="356">
        <f t="shared" si="73"/>
        <v>44</v>
      </c>
      <c r="Q130" s="184">
        <f t="shared" si="73"/>
        <v>44</v>
      </c>
      <c r="R130" s="184">
        <f t="shared" si="73"/>
        <v>44</v>
      </c>
      <c r="S130" s="184">
        <f t="shared" si="73"/>
        <v>44</v>
      </c>
      <c r="T130" s="184">
        <f t="shared" si="73"/>
        <v>44</v>
      </c>
      <c r="U130" s="356">
        <f t="shared" si="73"/>
        <v>44</v>
      </c>
      <c r="V130" s="184">
        <f t="shared" si="73"/>
        <v>44</v>
      </c>
      <c r="W130" s="184">
        <f t="shared" si="73"/>
        <v>44</v>
      </c>
      <c r="X130" s="184">
        <f t="shared" si="73"/>
        <v>44</v>
      </c>
      <c r="Y130" s="184">
        <f t="shared" si="73"/>
        <v>44</v>
      </c>
      <c r="Z130" s="356">
        <f t="shared" si="73"/>
        <v>44</v>
      </c>
      <c r="AA130" s="184">
        <f t="shared" si="73"/>
        <v>44</v>
      </c>
      <c r="AB130" s="184">
        <f t="shared" si="73"/>
        <v>44</v>
      </c>
      <c r="AC130" s="184">
        <f t="shared" si="73"/>
        <v>44</v>
      </c>
      <c r="AD130" s="184">
        <f t="shared" si="73"/>
        <v>44</v>
      </c>
      <c r="AE130" s="356">
        <f t="shared" si="73"/>
        <v>44</v>
      </c>
      <c r="AF130" s="73"/>
    </row>
    <row r="131" spans="2:32" s="83" customFormat="1" ht="12.75" customHeight="1">
      <c r="B131" s="107" t="s">
        <v>190</v>
      </c>
      <c r="C131" s="215"/>
      <c r="D131" s="184">
        <f t="shared" ref="D131:AE131" si="74">D46*D112/1000</f>
        <v>0</v>
      </c>
      <c r="E131" s="184">
        <f t="shared" si="74"/>
        <v>0</v>
      </c>
      <c r="F131" s="184">
        <f t="shared" si="74"/>
        <v>0</v>
      </c>
      <c r="G131" s="184">
        <f t="shared" si="74"/>
        <v>0</v>
      </c>
      <c r="H131" s="184">
        <f t="shared" si="74"/>
        <v>0</v>
      </c>
      <c r="I131" s="184">
        <f t="shared" si="74"/>
        <v>0</v>
      </c>
      <c r="J131" s="184">
        <f t="shared" si="74"/>
        <v>0</v>
      </c>
      <c r="K131" s="356">
        <f t="shared" si="74"/>
        <v>0</v>
      </c>
      <c r="L131" s="184">
        <f t="shared" si="74"/>
        <v>100</v>
      </c>
      <c r="M131" s="184">
        <f t="shared" si="74"/>
        <v>100</v>
      </c>
      <c r="N131" s="184">
        <f t="shared" si="74"/>
        <v>100</v>
      </c>
      <c r="O131" s="184">
        <f t="shared" si="74"/>
        <v>100</v>
      </c>
      <c r="P131" s="356">
        <f t="shared" si="74"/>
        <v>100</v>
      </c>
      <c r="Q131" s="184">
        <f t="shared" si="74"/>
        <v>100</v>
      </c>
      <c r="R131" s="184">
        <f t="shared" si="74"/>
        <v>100</v>
      </c>
      <c r="S131" s="184">
        <f t="shared" si="74"/>
        <v>100</v>
      </c>
      <c r="T131" s="184">
        <f t="shared" si="74"/>
        <v>100</v>
      </c>
      <c r="U131" s="356">
        <f t="shared" si="74"/>
        <v>100</v>
      </c>
      <c r="V131" s="184">
        <f t="shared" si="74"/>
        <v>100</v>
      </c>
      <c r="W131" s="184">
        <f t="shared" si="74"/>
        <v>100</v>
      </c>
      <c r="X131" s="184">
        <f t="shared" si="74"/>
        <v>100</v>
      </c>
      <c r="Y131" s="184">
        <f t="shared" si="74"/>
        <v>100</v>
      </c>
      <c r="Z131" s="356">
        <f t="shared" si="74"/>
        <v>100</v>
      </c>
      <c r="AA131" s="184">
        <f t="shared" si="74"/>
        <v>100</v>
      </c>
      <c r="AB131" s="184">
        <f t="shared" si="74"/>
        <v>100</v>
      </c>
      <c r="AC131" s="184">
        <f t="shared" si="74"/>
        <v>100</v>
      </c>
      <c r="AD131" s="184">
        <f t="shared" si="74"/>
        <v>100</v>
      </c>
      <c r="AE131" s="356">
        <f t="shared" si="74"/>
        <v>100</v>
      </c>
      <c r="AF131" s="73"/>
    </row>
    <row r="132" spans="2:32" s="83" customFormat="1" ht="12.75" customHeight="1">
      <c r="B132" s="105" t="s">
        <v>84</v>
      </c>
      <c r="C132" s="215"/>
      <c r="D132" s="184"/>
      <c r="E132" s="184"/>
      <c r="F132" s="184"/>
      <c r="G132" s="184"/>
      <c r="H132" s="184"/>
      <c r="I132" s="184"/>
      <c r="J132" s="184"/>
      <c r="K132" s="356"/>
      <c r="L132" s="184"/>
      <c r="M132" s="184"/>
      <c r="N132" s="184"/>
      <c r="O132" s="184"/>
      <c r="P132" s="356"/>
      <c r="Q132" s="184"/>
      <c r="R132" s="184"/>
      <c r="S132" s="184"/>
      <c r="T132" s="184"/>
      <c r="U132" s="356"/>
      <c r="V132" s="184"/>
      <c r="W132" s="184"/>
      <c r="X132" s="184"/>
      <c r="Y132" s="184"/>
      <c r="Z132" s="356"/>
      <c r="AA132" s="184"/>
      <c r="AB132" s="184"/>
      <c r="AC132" s="184"/>
      <c r="AD132" s="184"/>
      <c r="AE132" s="356"/>
      <c r="AF132" s="73"/>
    </row>
    <row r="133" spans="2:32" s="83" customFormat="1" ht="12.75" customHeight="1">
      <c r="B133" s="109" t="s">
        <v>134</v>
      </c>
      <c r="C133" s="215"/>
      <c r="D133" s="184">
        <f t="shared" ref="D133:AE133" si="75">D48*D114/1000</f>
        <v>14</v>
      </c>
      <c r="E133" s="184">
        <f t="shared" si="75"/>
        <v>14</v>
      </c>
      <c r="F133" s="184">
        <f t="shared" si="75"/>
        <v>14</v>
      </c>
      <c r="G133" s="184">
        <f t="shared" si="75"/>
        <v>14</v>
      </c>
      <c r="H133" s="184">
        <f t="shared" si="75"/>
        <v>14</v>
      </c>
      <c r="I133" s="184">
        <f t="shared" si="75"/>
        <v>14</v>
      </c>
      <c r="J133" s="184">
        <f t="shared" si="75"/>
        <v>14</v>
      </c>
      <c r="K133" s="356">
        <f t="shared" si="75"/>
        <v>14</v>
      </c>
      <c r="L133" s="184">
        <f t="shared" si="75"/>
        <v>0</v>
      </c>
      <c r="M133" s="184">
        <f t="shared" si="75"/>
        <v>0</v>
      </c>
      <c r="N133" s="184">
        <f t="shared" si="75"/>
        <v>0</v>
      </c>
      <c r="O133" s="184">
        <f t="shared" si="75"/>
        <v>0</v>
      </c>
      <c r="P133" s="356">
        <f t="shared" si="75"/>
        <v>0</v>
      </c>
      <c r="Q133" s="184">
        <f t="shared" si="75"/>
        <v>0</v>
      </c>
      <c r="R133" s="184">
        <f t="shared" si="75"/>
        <v>0</v>
      </c>
      <c r="S133" s="184">
        <f t="shared" si="75"/>
        <v>0</v>
      </c>
      <c r="T133" s="184">
        <f t="shared" si="75"/>
        <v>0</v>
      </c>
      <c r="U133" s="356">
        <f t="shared" si="75"/>
        <v>0</v>
      </c>
      <c r="V133" s="184">
        <f t="shared" si="75"/>
        <v>0</v>
      </c>
      <c r="W133" s="184">
        <f t="shared" si="75"/>
        <v>0</v>
      </c>
      <c r="X133" s="184">
        <f t="shared" si="75"/>
        <v>0</v>
      </c>
      <c r="Y133" s="184">
        <f t="shared" si="75"/>
        <v>0</v>
      </c>
      <c r="Z133" s="356">
        <f t="shared" si="75"/>
        <v>0</v>
      </c>
      <c r="AA133" s="184">
        <f t="shared" si="75"/>
        <v>0</v>
      </c>
      <c r="AB133" s="184">
        <f t="shared" si="75"/>
        <v>0</v>
      </c>
      <c r="AC133" s="184">
        <f t="shared" si="75"/>
        <v>0</v>
      </c>
      <c r="AD133" s="184">
        <f t="shared" si="75"/>
        <v>0</v>
      </c>
      <c r="AE133" s="356">
        <f t="shared" si="75"/>
        <v>0</v>
      </c>
      <c r="AF133" s="73"/>
    </row>
    <row r="134" spans="2:32" s="83" customFormat="1" ht="12.75" customHeight="1">
      <c r="B134" s="109" t="s">
        <v>135</v>
      </c>
      <c r="C134" s="215"/>
      <c r="D134" s="184">
        <f t="shared" ref="D134:AE134" si="76">D49*D115/1000</f>
        <v>67.939999999999984</v>
      </c>
      <c r="E134" s="184">
        <f t="shared" si="76"/>
        <v>67.939999999999984</v>
      </c>
      <c r="F134" s="184">
        <f t="shared" si="76"/>
        <v>67.939999999999984</v>
      </c>
      <c r="G134" s="184">
        <f t="shared" si="76"/>
        <v>67.939999999999984</v>
      </c>
      <c r="H134" s="184">
        <f t="shared" si="76"/>
        <v>67.939999999999984</v>
      </c>
      <c r="I134" s="184">
        <f t="shared" si="76"/>
        <v>67.939999999999984</v>
      </c>
      <c r="J134" s="184">
        <f t="shared" si="76"/>
        <v>67.939999999999984</v>
      </c>
      <c r="K134" s="356">
        <f t="shared" si="76"/>
        <v>67.939999999999984</v>
      </c>
      <c r="L134" s="184">
        <f t="shared" si="76"/>
        <v>67.939999999999984</v>
      </c>
      <c r="M134" s="184">
        <f t="shared" si="76"/>
        <v>67.939999999999984</v>
      </c>
      <c r="N134" s="184">
        <f t="shared" si="76"/>
        <v>67.939999999999984</v>
      </c>
      <c r="O134" s="184">
        <f t="shared" si="76"/>
        <v>67.939999999999984</v>
      </c>
      <c r="P134" s="356">
        <f t="shared" si="76"/>
        <v>67.939999999999984</v>
      </c>
      <c r="Q134" s="184">
        <f t="shared" si="76"/>
        <v>67.939999999999984</v>
      </c>
      <c r="R134" s="184">
        <f t="shared" si="76"/>
        <v>67.939999999999984</v>
      </c>
      <c r="S134" s="184">
        <f t="shared" si="76"/>
        <v>67.939999999999984</v>
      </c>
      <c r="T134" s="184">
        <f t="shared" si="76"/>
        <v>0</v>
      </c>
      <c r="U134" s="356">
        <f t="shared" si="76"/>
        <v>0</v>
      </c>
      <c r="V134" s="184">
        <f t="shared" si="76"/>
        <v>0</v>
      </c>
      <c r="W134" s="184">
        <f t="shared" si="76"/>
        <v>0</v>
      </c>
      <c r="X134" s="184">
        <f t="shared" si="76"/>
        <v>0</v>
      </c>
      <c r="Y134" s="184">
        <f t="shared" si="76"/>
        <v>0</v>
      </c>
      <c r="Z134" s="356">
        <f t="shared" si="76"/>
        <v>0</v>
      </c>
      <c r="AA134" s="184">
        <f t="shared" si="76"/>
        <v>0</v>
      </c>
      <c r="AB134" s="184">
        <f t="shared" si="76"/>
        <v>0</v>
      </c>
      <c r="AC134" s="184">
        <f t="shared" si="76"/>
        <v>0</v>
      </c>
      <c r="AD134" s="184">
        <f t="shared" si="76"/>
        <v>0</v>
      </c>
      <c r="AE134" s="356">
        <f t="shared" si="76"/>
        <v>0</v>
      </c>
      <c r="AF134" s="73"/>
    </row>
    <row r="135" spans="2:32" s="83" customFormat="1" ht="12.75" customHeight="1">
      <c r="B135" s="109" t="s">
        <v>136</v>
      </c>
      <c r="C135" s="215"/>
      <c r="D135" s="184">
        <f t="shared" ref="D135:AE135" si="77">D50*D116/1000</f>
        <v>82.8</v>
      </c>
      <c r="E135" s="184">
        <f t="shared" si="77"/>
        <v>82.8</v>
      </c>
      <c r="F135" s="184">
        <f t="shared" si="77"/>
        <v>82.8</v>
      </c>
      <c r="G135" s="184">
        <f t="shared" si="77"/>
        <v>82.8</v>
      </c>
      <c r="H135" s="184">
        <f t="shared" si="77"/>
        <v>82.8</v>
      </c>
      <c r="I135" s="184">
        <f t="shared" si="77"/>
        <v>82.8</v>
      </c>
      <c r="J135" s="184">
        <f t="shared" si="77"/>
        <v>82.8</v>
      </c>
      <c r="K135" s="356">
        <f t="shared" si="77"/>
        <v>82.8</v>
      </c>
      <c r="L135" s="184">
        <f t="shared" si="77"/>
        <v>82.8</v>
      </c>
      <c r="M135" s="184">
        <f t="shared" si="77"/>
        <v>82.8</v>
      </c>
      <c r="N135" s="184">
        <f t="shared" si="77"/>
        <v>82.8</v>
      </c>
      <c r="O135" s="184">
        <f t="shared" si="77"/>
        <v>82.8</v>
      </c>
      <c r="P135" s="356">
        <f t="shared" si="77"/>
        <v>82.8</v>
      </c>
      <c r="Q135" s="184">
        <f t="shared" si="77"/>
        <v>82.8</v>
      </c>
      <c r="R135" s="184">
        <f t="shared" si="77"/>
        <v>82.8</v>
      </c>
      <c r="S135" s="184">
        <f t="shared" si="77"/>
        <v>82.8</v>
      </c>
      <c r="T135" s="184">
        <f t="shared" si="77"/>
        <v>0</v>
      </c>
      <c r="U135" s="356">
        <f t="shared" si="77"/>
        <v>0</v>
      </c>
      <c r="V135" s="184">
        <f t="shared" si="77"/>
        <v>0</v>
      </c>
      <c r="W135" s="184">
        <f t="shared" si="77"/>
        <v>0</v>
      </c>
      <c r="X135" s="184">
        <f t="shared" si="77"/>
        <v>0</v>
      </c>
      <c r="Y135" s="184">
        <f t="shared" si="77"/>
        <v>0</v>
      </c>
      <c r="Z135" s="356">
        <f t="shared" si="77"/>
        <v>0</v>
      </c>
      <c r="AA135" s="184">
        <f t="shared" si="77"/>
        <v>0</v>
      </c>
      <c r="AB135" s="184">
        <f t="shared" si="77"/>
        <v>0</v>
      </c>
      <c r="AC135" s="184">
        <f t="shared" si="77"/>
        <v>0</v>
      </c>
      <c r="AD135" s="184">
        <f t="shared" si="77"/>
        <v>0</v>
      </c>
      <c r="AE135" s="356">
        <f t="shared" si="77"/>
        <v>0</v>
      </c>
      <c r="AF135" s="73"/>
    </row>
    <row r="136" spans="2:32" s="83" customFormat="1" ht="12.75" customHeight="1">
      <c r="B136" s="109" t="s">
        <v>137</v>
      </c>
      <c r="C136" s="215"/>
      <c r="D136" s="184">
        <f t="shared" ref="D136:AE136" si="78">D51*D117/1000</f>
        <v>22.04</v>
      </c>
      <c r="E136" s="184">
        <f t="shared" si="78"/>
        <v>22.04</v>
      </c>
      <c r="F136" s="184">
        <f t="shared" si="78"/>
        <v>22.04</v>
      </c>
      <c r="G136" s="184">
        <f t="shared" si="78"/>
        <v>22.04</v>
      </c>
      <c r="H136" s="184">
        <f t="shared" si="78"/>
        <v>22.04</v>
      </c>
      <c r="I136" s="184">
        <f t="shared" si="78"/>
        <v>22.04</v>
      </c>
      <c r="J136" s="184">
        <f t="shared" si="78"/>
        <v>22.04</v>
      </c>
      <c r="K136" s="356">
        <f t="shared" si="78"/>
        <v>22.04</v>
      </c>
      <c r="L136" s="184">
        <f t="shared" si="78"/>
        <v>22.04</v>
      </c>
      <c r="M136" s="184">
        <f t="shared" si="78"/>
        <v>22.04</v>
      </c>
      <c r="N136" s="184">
        <f t="shared" si="78"/>
        <v>22.04</v>
      </c>
      <c r="O136" s="184">
        <f t="shared" si="78"/>
        <v>22.04</v>
      </c>
      <c r="P136" s="356">
        <f t="shared" si="78"/>
        <v>22.04</v>
      </c>
      <c r="Q136" s="184">
        <f t="shared" si="78"/>
        <v>22.04</v>
      </c>
      <c r="R136" s="184">
        <f t="shared" si="78"/>
        <v>22.04</v>
      </c>
      <c r="S136" s="184">
        <f t="shared" si="78"/>
        <v>22.04</v>
      </c>
      <c r="T136" s="184">
        <f t="shared" si="78"/>
        <v>0</v>
      </c>
      <c r="U136" s="356">
        <f t="shared" si="78"/>
        <v>0</v>
      </c>
      <c r="V136" s="184">
        <f t="shared" si="78"/>
        <v>0</v>
      </c>
      <c r="W136" s="184">
        <f t="shared" si="78"/>
        <v>0</v>
      </c>
      <c r="X136" s="184">
        <f t="shared" si="78"/>
        <v>0</v>
      </c>
      <c r="Y136" s="184">
        <f t="shared" si="78"/>
        <v>0</v>
      </c>
      <c r="Z136" s="356">
        <f t="shared" si="78"/>
        <v>0</v>
      </c>
      <c r="AA136" s="184">
        <f t="shared" si="78"/>
        <v>0</v>
      </c>
      <c r="AB136" s="184">
        <f t="shared" si="78"/>
        <v>0</v>
      </c>
      <c r="AC136" s="184">
        <f t="shared" si="78"/>
        <v>0</v>
      </c>
      <c r="AD136" s="184">
        <f t="shared" si="78"/>
        <v>0</v>
      </c>
      <c r="AE136" s="356">
        <f t="shared" si="78"/>
        <v>0</v>
      </c>
      <c r="AF136" s="73"/>
    </row>
    <row r="137" spans="2:32" s="83" customFormat="1" ht="12.75" customHeight="1">
      <c r="B137" s="109" t="s">
        <v>138</v>
      </c>
      <c r="C137" s="215"/>
      <c r="D137" s="184">
        <f t="shared" ref="D137:AE137" si="79">D52*D118/1000</f>
        <v>67.2</v>
      </c>
      <c r="E137" s="184">
        <f t="shared" si="79"/>
        <v>67.2</v>
      </c>
      <c r="F137" s="184">
        <f t="shared" si="79"/>
        <v>67.2</v>
      </c>
      <c r="G137" s="184">
        <f t="shared" si="79"/>
        <v>67.2</v>
      </c>
      <c r="H137" s="184">
        <f t="shared" si="79"/>
        <v>67.2</v>
      </c>
      <c r="I137" s="184">
        <f t="shared" si="79"/>
        <v>67.2</v>
      </c>
      <c r="J137" s="184">
        <f t="shared" si="79"/>
        <v>67.2</v>
      </c>
      <c r="K137" s="356">
        <f t="shared" si="79"/>
        <v>67.2</v>
      </c>
      <c r="L137" s="184">
        <f t="shared" si="79"/>
        <v>67.2</v>
      </c>
      <c r="M137" s="184">
        <f t="shared" si="79"/>
        <v>67.2</v>
      </c>
      <c r="N137" s="184">
        <f t="shared" si="79"/>
        <v>67.2</v>
      </c>
      <c r="O137" s="184">
        <f t="shared" si="79"/>
        <v>67.2</v>
      </c>
      <c r="P137" s="356">
        <f t="shared" si="79"/>
        <v>67.2</v>
      </c>
      <c r="Q137" s="184">
        <f t="shared" si="79"/>
        <v>67.2</v>
      </c>
      <c r="R137" s="184">
        <f t="shared" si="79"/>
        <v>67.2</v>
      </c>
      <c r="S137" s="184">
        <f t="shared" si="79"/>
        <v>67.2</v>
      </c>
      <c r="T137" s="184">
        <f t="shared" si="79"/>
        <v>67.2</v>
      </c>
      <c r="U137" s="356">
        <f t="shared" si="79"/>
        <v>67.2</v>
      </c>
      <c r="V137" s="184">
        <f t="shared" si="79"/>
        <v>67.2</v>
      </c>
      <c r="W137" s="184">
        <f t="shared" si="79"/>
        <v>67.2</v>
      </c>
      <c r="X137" s="184">
        <f t="shared" si="79"/>
        <v>67.2</v>
      </c>
      <c r="Y137" s="184">
        <f t="shared" si="79"/>
        <v>67.2</v>
      </c>
      <c r="Z137" s="356">
        <f t="shared" si="79"/>
        <v>0</v>
      </c>
      <c r="AA137" s="184">
        <f t="shared" si="79"/>
        <v>0</v>
      </c>
      <c r="AB137" s="184">
        <f t="shared" si="79"/>
        <v>0</v>
      </c>
      <c r="AC137" s="184">
        <f t="shared" si="79"/>
        <v>0</v>
      </c>
      <c r="AD137" s="184">
        <f t="shared" si="79"/>
        <v>0</v>
      </c>
      <c r="AE137" s="356">
        <f t="shared" si="79"/>
        <v>0</v>
      </c>
      <c r="AF137" s="73"/>
    </row>
    <row r="138" spans="2:32" s="83" customFormat="1" ht="12.75" customHeight="1">
      <c r="B138" s="631" t="s">
        <v>350</v>
      </c>
      <c r="C138" s="215"/>
      <c r="D138" s="184">
        <f t="shared" ref="D138:AE138" si="80">D53*D119/1000</f>
        <v>0</v>
      </c>
      <c r="E138" s="184">
        <f t="shared" si="80"/>
        <v>0</v>
      </c>
      <c r="F138" s="184">
        <f t="shared" si="80"/>
        <v>0</v>
      </c>
      <c r="G138" s="184">
        <f t="shared" si="80"/>
        <v>0</v>
      </c>
      <c r="H138" s="184">
        <f t="shared" si="80"/>
        <v>0</v>
      </c>
      <c r="I138" s="184">
        <f t="shared" si="80"/>
        <v>0</v>
      </c>
      <c r="J138" s="184">
        <f t="shared" si="80"/>
        <v>0</v>
      </c>
      <c r="K138" s="356">
        <f t="shared" si="80"/>
        <v>787.5</v>
      </c>
      <c r="L138" s="184">
        <f t="shared" si="80"/>
        <v>787.5</v>
      </c>
      <c r="M138" s="184">
        <f t="shared" si="80"/>
        <v>787.5</v>
      </c>
      <c r="N138" s="184">
        <f t="shared" si="80"/>
        <v>787.5</v>
      </c>
      <c r="O138" s="184">
        <f t="shared" si="80"/>
        <v>787.5</v>
      </c>
      <c r="P138" s="356">
        <f t="shared" si="80"/>
        <v>787.5</v>
      </c>
      <c r="Q138" s="184">
        <f t="shared" si="80"/>
        <v>787.5</v>
      </c>
      <c r="R138" s="184">
        <f t="shared" si="80"/>
        <v>787.5</v>
      </c>
      <c r="S138" s="184">
        <f t="shared" si="80"/>
        <v>787.5</v>
      </c>
      <c r="T138" s="184">
        <f t="shared" si="80"/>
        <v>787.5</v>
      </c>
      <c r="U138" s="356">
        <f t="shared" si="80"/>
        <v>787.5</v>
      </c>
      <c r="V138" s="184">
        <f t="shared" si="80"/>
        <v>787.5</v>
      </c>
      <c r="W138" s="184">
        <f t="shared" si="80"/>
        <v>787.5</v>
      </c>
      <c r="X138" s="184">
        <f t="shared" si="80"/>
        <v>787.5</v>
      </c>
      <c r="Y138" s="184">
        <f t="shared" si="80"/>
        <v>787.5</v>
      </c>
      <c r="Z138" s="356">
        <f t="shared" si="80"/>
        <v>787.5</v>
      </c>
      <c r="AA138" s="184">
        <f t="shared" si="80"/>
        <v>787.5</v>
      </c>
      <c r="AB138" s="184">
        <f t="shared" si="80"/>
        <v>787.5</v>
      </c>
      <c r="AC138" s="184">
        <f t="shared" si="80"/>
        <v>787.5</v>
      </c>
      <c r="AD138" s="184">
        <f t="shared" si="80"/>
        <v>787.5</v>
      </c>
      <c r="AE138" s="356">
        <f t="shared" si="80"/>
        <v>787.5</v>
      </c>
      <c r="AF138" s="73"/>
    </row>
    <row r="139" spans="2:32" s="83" customFormat="1" ht="12.75" customHeight="1">
      <c r="B139" s="630" t="s">
        <v>349</v>
      </c>
      <c r="C139" s="215"/>
      <c r="D139" s="184">
        <f>D54*D120/1000</f>
        <v>0</v>
      </c>
      <c r="E139" s="184">
        <f t="shared" ref="E139:AE139" si="81">E54*E120/1000</f>
        <v>0</v>
      </c>
      <c r="F139" s="184">
        <f t="shared" si="81"/>
        <v>0</v>
      </c>
      <c r="G139" s="184">
        <f t="shared" si="81"/>
        <v>0</v>
      </c>
      <c r="H139" s="184">
        <f t="shared" si="81"/>
        <v>0</v>
      </c>
      <c r="I139" s="184">
        <f t="shared" si="81"/>
        <v>0</v>
      </c>
      <c r="J139" s="184">
        <f t="shared" si="81"/>
        <v>0</v>
      </c>
      <c r="K139" s="356">
        <f t="shared" si="81"/>
        <v>165.75</v>
      </c>
      <c r="L139" s="184">
        <f t="shared" si="81"/>
        <v>165.75</v>
      </c>
      <c r="M139" s="184">
        <f t="shared" si="81"/>
        <v>165.75</v>
      </c>
      <c r="N139" s="184">
        <f t="shared" si="81"/>
        <v>165.75</v>
      </c>
      <c r="O139" s="184">
        <f t="shared" si="81"/>
        <v>165.75</v>
      </c>
      <c r="P139" s="356">
        <f t="shared" si="81"/>
        <v>165.75</v>
      </c>
      <c r="Q139" s="184">
        <f t="shared" si="81"/>
        <v>165.75</v>
      </c>
      <c r="R139" s="184">
        <f t="shared" si="81"/>
        <v>165.75</v>
      </c>
      <c r="S139" s="184">
        <f t="shared" si="81"/>
        <v>165.75</v>
      </c>
      <c r="T139" s="184">
        <f t="shared" si="81"/>
        <v>165.75</v>
      </c>
      <c r="U139" s="356">
        <f t="shared" si="81"/>
        <v>165.75</v>
      </c>
      <c r="V139" s="184">
        <f t="shared" si="81"/>
        <v>165.75</v>
      </c>
      <c r="W139" s="184">
        <f t="shared" si="81"/>
        <v>165.75</v>
      </c>
      <c r="X139" s="184">
        <f t="shared" si="81"/>
        <v>165.75</v>
      </c>
      <c r="Y139" s="184">
        <f t="shared" si="81"/>
        <v>165.75</v>
      </c>
      <c r="Z139" s="356">
        <f t="shared" si="81"/>
        <v>165.75</v>
      </c>
      <c r="AA139" s="184">
        <f t="shared" si="81"/>
        <v>165.75</v>
      </c>
      <c r="AB139" s="184">
        <f t="shared" si="81"/>
        <v>165.75</v>
      </c>
      <c r="AC139" s="184">
        <f t="shared" si="81"/>
        <v>165.75</v>
      </c>
      <c r="AD139" s="184">
        <f t="shared" si="81"/>
        <v>165.75</v>
      </c>
      <c r="AE139" s="356">
        <f t="shared" si="81"/>
        <v>165.75</v>
      </c>
      <c r="AF139" s="73"/>
    </row>
    <row r="140" spans="2:32" s="83" customFormat="1" ht="12.75" customHeight="1" thickBot="1">
      <c r="B140" s="107" t="s">
        <v>190</v>
      </c>
      <c r="C140" s="398"/>
      <c r="D140" s="184">
        <f t="shared" ref="D140:AE140" si="82">D55*D121/1000</f>
        <v>0</v>
      </c>
      <c r="E140" s="184">
        <f t="shared" si="82"/>
        <v>0</v>
      </c>
      <c r="F140" s="184">
        <f t="shared" si="82"/>
        <v>0</v>
      </c>
      <c r="G140" s="184">
        <f t="shared" si="82"/>
        <v>0</v>
      </c>
      <c r="H140" s="184">
        <f t="shared" si="82"/>
        <v>0</v>
      </c>
      <c r="I140" s="184">
        <f t="shared" si="82"/>
        <v>0</v>
      </c>
      <c r="J140" s="184">
        <f t="shared" si="82"/>
        <v>0</v>
      </c>
      <c r="K140" s="356">
        <f t="shared" si="82"/>
        <v>0</v>
      </c>
      <c r="L140" s="184">
        <f t="shared" si="82"/>
        <v>106.25</v>
      </c>
      <c r="M140" s="184">
        <f t="shared" si="82"/>
        <v>106.25</v>
      </c>
      <c r="N140" s="184">
        <f t="shared" si="82"/>
        <v>106.25</v>
      </c>
      <c r="O140" s="184">
        <f t="shared" si="82"/>
        <v>106.25</v>
      </c>
      <c r="P140" s="356">
        <f t="shared" si="82"/>
        <v>106.25</v>
      </c>
      <c r="Q140" s="184">
        <f t="shared" si="82"/>
        <v>106.25</v>
      </c>
      <c r="R140" s="184">
        <f t="shared" si="82"/>
        <v>106.25</v>
      </c>
      <c r="S140" s="184">
        <f t="shared" si="82"/>
        <v>106.25</v>
      </c>
      <c r="T140" s="184">
        <f t="shared" si="82"/>
        <v>106.25</v>
      </c>
      <c r="U140" s="356">
        <f t="shared" si="82"/>
        <v>106.25</v>
      </c>
      <c r="V140" s="184">
        <f t="shared" si="82"/>
        <v>106.25</v>
      </c>
      <c r="W140" s="184">
        <f t="shared" si="82"/>
        <v>106.25</v>
      </c>
      <c r="X140" s="184">
        <f t="shared" si="82"/>
        <v>106.25</v>
      </c>
      <c r="Y140" s="184">
        <f t="shared" si="82"/>
        <v>106.25</v>
      </c>
      <c r="Z140" s="356">
        <f t="shared" si="82"/>
        <v>106.25</v>
      </c>
      <c r="AA140" s="184">
        <f t="shared" si="82"/>
        <v>106.25</v>
      </c>
      <c r="AB140" s="184">
        <f t="shared" si="82"/>
        <v>106.25</v>
      </c>
      <c r="AC140" s="184">
        <f t="shared" si="82"/>
        <v>106.25</v>
      </c>
      <c r="AD140" s="184">
        <f t="shared" si="82"/>
        <v>106.25</v>
      </c>
      <c r="AE140" s="356">
        <f t="shared" si="82"/>
        <v>106.25</v>
      </c>
      <c r="AF140" s="73"/>
    </row>
    <row r="141" spans="2:32" s="83" customFormat="1" ht="12.75" customHeight="1" thickBot="1">
      <c r="B141" s="97" t="s">
        <v>75</v>
      </c>
      <c r="C141" s="395"/>
      <c r="D141" s="198">
        <f>+SUM(D125:D140)</f>
        <v>390.57499999999999</v>
      </c>
      <c r="E141" s="199">
        <f t="shared" ref="E141:Z141" si="83">+SUM(E125:E140)</f>
        <v>390.57499999999999</v>
      </c>
      <c r="F141" s="199">
        <f t="shared" si="83"/>
        <v>390.57499999999999</v>
      </c>
      <c r="G141" s="199">
        <f t="shared" si="83"/>
        <v>390.57499999999999</v>
      </c>
      <c r="H141" s="199">
        <f t="shared" si="83"/>
        <v>382.16</v>
      </c>
      <c r="I141" s="199">
        <f t="shared" si="83"/>
        <v>382.16</v>
      </c>
      <c r="J141" s="200">
        <f t="shared" si="83"/>
        <v>382.16</v>
      </c>
      <c r="K141" s="372">
        <f t="shared" si="83"/>
        <v>2079.41</v>
      </c>
      <c r="L141" s="373">
        <f t="shared" si="83"/>
        <v>2271.66</v>
      </c>
      <c r="M141" s="199">
        <f t="shared" si="83"/>
        <v>2271.66</v>
      </c>
      <c r="N141" s="199">
        <f t="shared" si="83"/>
        <v>2271.66</v>
      </c>
      <c r="O141" s="200">
        <f t="shared" si="83"/>
        <v>2271.66</v>
      </c>
      <c r="P141" s="372">
        <f t="shared" si="83"/>
        <v>2271.66</v>
      </c>
      <c r="Q141" s="373">
        <f t="shared" si="83"/>
        <v>2179.66</v>
      </c>
      <c r="R141" s="199">
        <f t="shared" si="83"/>
        <v>2179.66</v>
      </c>
      <c r="S141" s="199">
        <f t="shared" si="83"/>
        <v>2179.66</v>
      </c>
      <c r="T141" s="200">
        <f t="shared" si="83"/>
        <v>2006.88</v>
      </c>
      <c r="U141" s="372">
        <f t="shared" si="83"/>
        <v>2006.88</v>
      </c>
      <c r="V141" s="373">
        <f t="shared" si="83"/>
        <v>2006.88</v>
      </c>
      <c r="W141" s="199">
        <f t="shared" si="83"/>
        <v>2006.88</v>
      </c>
      <c r="X141" s="199">
        <f t="shared" si="83"/>
        <v>2006.88</v>
      </c>
      <c r="Y141" s="200">
        <f t="shared" si="83"/>
        <v>2006.88</v>
      </c>
      <c r="Z141" s="372">
        <f t="shared" si="83"/>
        <v>1915.56</v>
      </c>
      <c r="AA141" s="373">
        <f t="shared" ref="AA141:AE141" si="84">+SUM(AA125:AA140)</f>
        <v>1915.56</v>
      </c>
      <c r="AB141" s="199">
        <f t="shared" si="84"/>
        <v>1903.5</v>
      </c>
      <c r="AC141" s="199">
        <f t="shared" si="84"/>
        <v>1903.5</v>
      </c>
      <c r="AD141" s="200">
        <f t="shared" si="84"/>
        <v>1903.5</v>
      </c>
      <c r="AE141" s="372">
        <f t="shared" si="84"/>
        <v>1903.5</v>
      </c>
      <c r="AF141" s="73"/>
    </row>
    <row r="142" spans="2:32" s="83" customFormat="1" ht="12.75" customHeight="1">
      <c r="B142" s="111"/>
      <c r="C142" s="396"/>
      <c r="D142" s="213"/>
      <c r="E142" s="213"/>
      <c r="F142" s="213"/>
      <c r="G142" s="213"/>
      <c r="H142" s="213"/>
      <c r="I142" s="213"/>
      <c r="J142" s="213"/>
      <c r="K142" s="378"/>
      <c r="L142" s="213"/>
      <c r="M142" s="213"/>
      <c r="N142" s="213"/>
      <c r="O142" s="213"/>
      <c r="P142" s="378"/>
      <c r="Q142" s="213"/>
      <c r="R142" s="213"/>
      <c r="S142" s="213"/>
      <c r="T142" s="213"/>
      <c r="U142" s="378"/>
      <c r="V142" s="213"/>
      <c r="W142" s="213"/>
      <c r="X142" s="213"/>
      <c r="Y142" s="213"/>
      <c r="Z142" s="378"/>
      <c r="AA142" s="213"/>
      <c r="AB142" s="184"/>
      <c r="AC142" s="184"/>
      <c r="AD142" s="184"/>
      <c r="AE142" s="368"/>
      <c r="AF142" s="73"/>
    </row>
    <row r="143" spans="2:32" s="83" customFormat="1" ht="12.75" customHeight="1">
      <c r="B143" s="112"/>
      <c r="C143" s="215"/>
      <c r="D143" s="184"/>
      <c r="E143" s="184"/>
      <c r="F143" s="184"/>
      <c r="G143" s="184"/>
      <c r="H143" s="184"/>
      <c r="I143" s="184"/>
      <c r="J143" s="184"/>
      <c r="K143" s="356"/>
      <c r="L143" s="184"/>
      <c r="M143" s="184"/>
      <c r="N143" s="184"/>
      <c r="O143" s="184"/>
      <c r="P143" s="356"/>
      <c r="Q143" s="184"/>
      <c r="R143" s="184"/>
      <c r="S143" s="184"/>
      <c r="T143" s="184"/>
      <c r="U143" s="356"/>
      <c r="V143" s="184"/>
      <c r="W143" s="184"/>
      <c r="X143" s="184"/>
      <c r="Y143" s="184"/>
      <c r="Z143" s="356"/>
      <c r="AA143" s="184"/>
      <c r="AB143" s="184"/>
      <c r="AC143" s="184"/>
      <c r="AD143" s="184"/>
      <c r="AE143" s="368"/>
      <c r="AF143" s="73"/>
    </row>
    <row r="144" spans="2:32" s="83" customFormat="1" ht="12.75" customHeight="1">
      <c r="B144" s="102" t="s">
        <v>192</v>
      </c>
      <c r="C144" s="214"/>
      <c r="D144" s="215"/>
      <c r="E144" s="184"/>
      <c r="F144" s="184"/>
      <c r="G144" s="184"/>
      <c r="H144" s="184"/>
      <c r="I144" s="184"/>
      <c r="J144" s="184"/>
      <c r="K144" s="356"/>
      <c r="L144" s="184"/>
      <c r="M144" s="184"/>
      <c r="N144" s="184"/>
      <c r="O144" s="184"/>
      <c r="P144" s="356"/>
      <c r="Q144" s="184"/>
      <c r="R144" s="184"/>
      <c r="S144" s="184"/>
      <c r="T144" s="184"/>
      <c r="U144" s="356"/>
      <c r="V144" s="184"/>
      <c r="W144" s="184"/>
      <c r="X144" s="184"/>
      <c r="Y144" s="184"/>
      <c r="Z144" s="356"/>
      <c r="AA144" s="184"/>
      <c r="AB144" s="184"/>
      <c r="AC144" s="184"/>
      <c r="AD144" s="184"/>
      <c r="AE144" s="368"/>
      <c r="AF144" s="73"/>
    </row>
    <row r="145" spans="2:32" s="83" customFormat="1" ht="12.75" customHeight="1">
      <c r="B145" s="112" t="str">
        <f t="shared" ref="B145:B156" si="85">+B60</f>
        <v>Horns Rev 1 (2002)</v>
      </c>
      <c r="C145"/>
      <c r="D145" s="210">
        <v>4000</v>
      </c>
      <c r="E145" s="184">
        <f>D145</f>
        <v>4000</v>
      </c>
      <c r="F145" s="184">
        <f>E145</f>
        <v>4000</v>
      </c>
      <c r="G145" s="184">
        <f t="shared" ref="G145:V153" si="86">F145</f>
        <v>4000</v>
      </c>
      <c r="H145" s="184">
        <f t="shared" si="86"/>
        <v>4000</v>
      </c>
      <c r="I145" s="184">
        <f t="shared" si="86"/>
        <v>4000</v>
      </c>
      <c r="J145" s="184">
        <f t="shared" si="86"/>
        <v>4000</v>
      </c>
      <c r="K145" s="356">
        <f t="shared" si="86"/>
        <v>4000</v>
      </c>
      <c r="L145" s="184">
        <f t="shared" si="86"/>
        <v>4000</v>
      </c>
      <c r="M145" s="184">
        <f t="shared" si="86"/>
        <v>4000</v>
      </c>
      <c r="N145" s="184">
        <f t="shared" si="86"/>
        <v>4000</v>
      </c>
      <c r="O145" s="184">
        <f t="shared" si="86"/>
        <v>4000</v>
      </c>
      <c r="P145" s="356">
        <f t="shared" si="86"/>
        <v>4000</v>
      </c>
      <c r="Q145" s="184">
        <f t="shared" si="86"/>
        <v>4000</v>
      </c>
      <c r="R145" s="184">
        <f t="shared" si="86"/>
        <v>4000</v>
      </c>
      <c r="S145" s="184">
        <f t="shared" si="86"/>
        <v>4000</v>
      </c>
      <c r="T145" s="184">
        <f t="shared" si="86"/>
        <v>4000</v>
      </c>
      <c r="U145" s="356">
        <f t="shared" si="86"/>
        <v>4000</v>
      </c>
      <c r="V145" s="184">
        <f t="shared" si="86"/>
        <v>4000</v>
      </c>
      <c r="W145" s="184">
        <f t="shared" ref="W145:AE156" si="87">V145</f>
        <v>4000</v>
      </c>
      <c r="X145" s="184">
        <f t="shared" si="87"/>
        <v>4000</v>
      </c>
      <c r="Y145" s="184">
        <f t="shared" si="87"/>
        <v>4000</v>
      </c>
      <c r="Z145" s="356">
        <f t="shared" si="87"/>
        <v>4000</v>
      </c>
      <c r="AA145" s="184">
        <f t="shared" si="87"/>
        <v>4000</v>
      </c>
      <c r="AB145" s="184">
        <f t="shared" si="87"/>
        <v>4000</v>
      </c>
      <c r="AC145" s="184">
        <f t="shared" si="87"/>
        <v>4000</v>
      </c>
      <c r="AD145" s="184">
        <f t="shared" si="87"/>
        <v>4000</v>
      </c>
      <c r="AE145" s="356">
        <f t="shared" si="87"/>
        <v>4000</v>
      </c>
      <c r="AF145" s="73"/>
    </row>
    <row r="146" spans="2:32" s="83" customFormat="1" ht="12.75" customHeight="1">
      <c r="B146" s="112" t="str">
        <f t="shared" si="85"/>
        <v>Rødsand 1 / Nysted (2003)</v>
      </c>
      <c r="C146"/>
      <c r="D146" s="210">
        <v>3450</v>
      </c>
      <c r="E146" s="184">
        <f t="shared" ref="E146:F149" si="88">D146</f>
        <v>3450</v>
      </c>
      <c r="F146" s="184">
        <f t="shared" si="88"/>
        <v>3450</v>
      </c>
      <c r="G146" s="184">
        <f t="shared" si="86"/>
        <v>3450</v>
      </c>
      <c r="H146" s="184">
        <f t="shared" si="86"/>
        <v>3450</v>
      </c>
      <c r="I146" s="184">
        <f t="shared" si="86"/>
        <v>3450</v>
      </c>
      <c r="J146" s="184">
        <f t="shared" si="86"/>
        <v>3450</v>
      </c>
      <c r="K146" s="356">
        <f t="shared" si="86"/>
        <v>3450</v>
      </c>
      <c r="L146" s="184">
        <f t="shared" si="86"/>
        <v>3450</v>
      </c>
      <c r="M146" s="184">
        <f t="shared" si="86"/>
        <v>3450</v>
      </c>
      <c r="N146" s="184">
        <f t="shared" si="86"/>
        <v>3450</v>
      </c>
      <c r="O146" s="184">
        <f t="shared" si="86"/>
        <v>3450</v>
      </c>
      <c r="P146" s="356">
        <f t="shared" si="86"/>
        <v>3450</v>
      </c>
      <c r="Q146" s="184">
        <f t="shared" si="86"/>
        <v>3450</v>
      </c>
      <c r="R146" s="184">
        <f t="shared" si="86"/>
        <v>3450</v>
      </c>
      <c r="S146" s="184">
        <f t="shared" si="86"/>
        <v>3450</v>
      </c>
      <c r="T146" s="184">
        <f t="shared" si="86"/>
        <v>3450</v>
      </c>
      <c r="U146" s="356">
        <f t="shared" si="86"/>
        <v>3450</v>
      </c>
      <c r="V146" s="184">
        <f t="shared" si="86"/>
        <v>3450</v>
      </c>
      <c r="W146" s="184">
        <f t="shared" si="87"/>
        <v>3450</v>
      </c>
      <c r="X146" s="184">
        <f t="shared" si="87"/>
        <v>3450</v>
      </c>
      <c r="Y146" s="184">
        <f t="shared" si="87"/>
        <v>3450</v>
      </c>
      <c r="Z146" s="356">
        <f t="shared" si="87"/>
        <v>3450</v>
      </c>
      <c r="AA146" s="184">
        <f t="shared" si="87"/>
        <v>3450</v>
      </c>
      <c r="AB146" s="184">
        <f t="shared" si="87"/>
        <v>3450</v>
      </c>
      <c r="AC146" s="184">
        <f t="shared" si="87"/>
        <v>3450</v>
      </c>
      <c r="AD146" s="184">
        <f t="shared" si="87"/>
        <v>3450</v>
      </c>
      <c r="AE146" s="356">
        <f t="shared" si="87"/>
        <v>3450</v>
      </c>
      <c r="AF146" s="73"/>
    </row>
    <row r="147" spans="2:32" s="83" customFormat="1" ht="12.75" customHeight="1">
      <c r="B147" s="112" t="str">
        <f t="shared" si="85"/>
        <v>Horns Rev 2 (2009)</v>
      </c>
      <c r="C147"/>
      <c r="D147" s="210">
        <v>4400</v>
      </c>
      <c r="E147" s="184">
        <f t="shared" si="88"/>
        <v>4400</v>
      </c>
      <c r="F147" s="184">
        <f t="shared" si="88"/>
        <v>4400</v>
      </c>
      <c r="G147" s="184">
        <f t="shared" si="86"/>
        <v>4400</v>
      </c>
      <c r="H147" s="184">
        <f t="shared" si="86"/>
        <v>4400</v>
      </c>
      <c r="I147" s="184">
        <f t="shared" si="86"/>
        <v>4400</v>
      </c>
      <c r="J147" s="184">
        <f t="shared" si="86"/>
        <v>4400</v>
      </c>
      <c r="K147" s="356">
        <f t="shared" si="86"/>
        <v>4400</v>
      </c>
      <c r="L147" s="184">
        <f t="shared" si="86"/>
        <v>4400</v>
      </c>
      <c r="M147" s="184">
        <f t="shared" si="86"/>
        <v>4400</v>
      </c>
      <c r="N147" s="184">
        <f t="shared" si="86"/>
        <v>4400</v>
      </c>
      <c r="O147" s="184">
        <f t="shared" si="86"/>
        <v>4400</v>
      </c>
      <c r="P147" s="356">
        <f t="shared" si="86"/>
        <v>4400</v>
      </c>
      <c r="Q147" s="184">
        <f t="shared" si="86"/>
        <v>4400</v>
      </c>
      <c r="R147" s="184">
        <f t="shared" si="86"/>
        <v>4400</v>
      </c>
      <c r="S147" s="184">
        <f t="shared" si="86"/>
        <v>4400</v>
      </c>
      <c r="T147" s="184">
        <f t="shared" si="86"/>
        <v>4400</v>
      </c>
      <c r="U147" s="356">
        <f t="shared" si="86"/>
        <v>4400</v>
      </c>
      <c r="V147" s="184">
        <f t="shared" si="86"/>
        <v>4400</v>
      </c>
      <c r="W147" s="184">
        <f t="shared" si="87"/>
        <v>4400</v>
      </c>
      <c r="X147" s="184">
        <f t="shared" si="87"/>
        <v>4400</v>
      </c>
      <c r="Y147" s="184">
        <f t="shared" si="87"/>
        <v>4400</v>
      </c>
      <c r="Z147" s="356">
        <f t="shared" si="87"/>
        <v>4400</v>
      </c>
      <c r="AA147" s="184">
        <f t="shared" si="87"/>
        <v>4400</v>
      </c>
      <c r="AB147" s="184">
        <f t="shared" si="87"/>
        <v>4400</v>
      </c>
      <c r="AC147" s="184">
        <f t="shared" si="87"/>
        <v>4400</v>
      </c>
      <c r="AD147" s="184">
        <f t="shared" si="87"/>
        <v>4400</v>
      </c>
      <c r="AE147" s="356">
        <f t="shared" si="87"/>
        <v>4400</v>
      </c>
      <c r="AF147" s="73"/>
    </row>
    <row r="148" spans="2:32" s="83" customFormat="1" ht="12.75" customHeight="1">
      <c r="B148" s="112" t="str">
        <f t="shared" si="85"/>
        <v>Rødsand 2 (2010)</v>
      </c>
      <c r="C148"/>
      <c r="D148" s="210">
        <v>3900</v>
      </c>
      <c r="E148" s="184">
        <f t="shared" si="88"/>
        <v>3900</v>
      </c>
      <c r="F148" s="184">
        <f t="shared" si="88"/>
        <v>3900</v>
      </c>
      <c r="G148" s="184">
        <f t="shared" si="86"/>
        <v>3900</v>
      </c>
      <c r="H148" s="184">
        <f t="shared" si="86"/>
        <v>3900</v>
      </c>
      <c r="I148" s="184">
        <f t="shared" si="86"/>
        <v>3900</v>
      </c>
      <c r="J148" s="184">
        <f t="shared" si="86"/>
        <v>3900</v>
      </c>
      <c r="K148" s="356">
        <f t="shared" si="86"/>
        <v>3900</v>
      </c>
      <c r="L148" s="184">
        <f t="shared" si="86"/>
        <v>3900</v>
      </c>
      <c r="M148" s="184">
        <f t="shared" si="86"/>
        <v>3900</v>
      </c>
      <c r="N148" s="184">
        <f t="shared" si="86"/>
        <v>3900</v>
      </c>
      <c r="O148" s="184">
        <f t="shared" si="86"/>
        <v>3900</v>
      </c>
      <c r="P148" s="356">
        <f t="shared" si="86"/>
        <v>3900</v>
      </c>
      <c r="Q148" s="184">
        <f t="shared" si="86"/>
        <v>3900</v>
      </c>
      <c r="R148" s="184">
        <f t="shared" si="86"/>
        <v>3900</v>
      </c>
      <c r="S148" s="184">
        <f t="shared" si="86"/>
        <v>3900</v>
      </c>
      <c r="T148" s="184">
        <f t="shared" si="86"/>
        <v>3900</v>
      </c>
      <c r="U148" s="356">
        <f t="shared" si="86"/>
        <v>3900</v>
      </c>
      <c r="V148" s="184">
        <f t="shared" si="86"/>
        <v>3900</v>
      </c>
      <c r="W148" s="184">
        <f t="shared" si="87"/>
        <v>3900</v>
      </c>
      <c r="X148" s="184">
        <f t="shared" si="87"/>
        <v>3900</v>
      </c>
      <c r="Y148" s="184">
        <f t="shared" si="87"/>
        <v>3900</v>
      </c>
      <c r="Z148" s="356">
        <f t="shared" si="87"/>
        <v>3900</v>
      </c>
      <c r="AA148" s="184">
        <f t="shared" si="87"/>
        <v>3900</v>
      </c>
      <c r="AB148" s="184">
        <f t="shared" si="87"/>
        <v>3900</v>
      </c>
      <c r="AC148" s="184">
        <f t="shared" si="87"/>
        <v>3900</v>
      </c>
      <c r="AD148" s="184">
        <f t="shared" si="87"/>
        <v>3900</v>
      </c>
      <c r="AE148" s="356">
        <f t="shared" si="87"/>
        <v>3900</v>
      </c>
      <c r="AF148" s="73"/>
    </row>
    <row r="149" spans="2:32" s="83" customFormat="1" ht="12.75" customHeight="1">
      <c r="B149" s="112" t="str">
        <f t="shared" si="85"/>
        <v>Anholt (2013)</v>
      </c>
      <c r="C149"/>
      <c r="D149" s="210">
        <v>4450</v>
      </c>
      <c r="E149" s="184">
        <f t="shared" si="88"/>
        <v>4450</v>
      </c>
      <c r="F149" s="184">
        <f t="shared" si="88"/>
        <v>4450</v>
      </c>
      <c r="G149" s="184">
        <f t="shared" si="86"/>
        <v>4450</v>
      </c>
      <c r="H149" s="184">
        <f t="shared" si="86"/>
        <v>4450</v>
      </c>
      <c r="I149" s="184">
        <f t="shared" si="86"/>
        <v>4450</v>
      </c>
      <c r="J149" s="184">
        <f t="shared" si="86"/>
        <v>4450</v>
      </c>
      <c r="K149" s="356">
        <f t="shared" si="86"/>
        <v>4450</v>
      </c>
      <c r="L149" s="184">
        <f t="shared" si="86"/>
        <v>4450</v>
      </c>
      <c r="M149" s="184">
        <f t="shared" si="86"/>
        <v>4450</v>
      </c>
      <c r="N149" s="184">
        <f t="shared" si="86"/>
        <v>4450</v>
      </c>
      <c r="O149" s="184">
        <f t="shared" si="86"/>
        <v>4450</v>
      </c>
      <c r="P149" s="356">
        <f t="shared" si="86"/>
        <v>4450</v>
      </c>
      <c r="Q149" s="184">
        <f t="shared" si="86"/>
        <v>4450</v>
      </c>
      <c r="R149" s="184">
        <f t="shared" si="86"/>
        <v>4450</v>
      </c>
      <c r="S149" s="184">
        <f t="shared" si="86"/>
        <v>4450</v>
      </c>
      <c r="T149" s="184">
        <f t="shared" si="86"/>
        <v>4450</v>
      </c>
      <c r="U149" s="356">
        <f t="shared" si="86"/>
        <v>4450</v>
      </c>
      <c r="V149" s="184">
        <f t="shared" si="86"/>
        <v>4450</v>
      </c>
      <c r="W149" s="184">
        <f t="shared" si="87"/>
        <v>4450</v>
      </c>
      <c r="X149" s="184">
        <f t="shared" si="87"/>
        <v>4450</v>
      </c>
      <c r="Y149" s="184">
        <f t="shared" si="87"/>
        <v>4450</v>
      </c>
      <c r="Z149" s="356">
        <f t="shared" si="87"/>
        <v>4450</v>
      </c>
      <c r="AA149" s="184">
        <f t="shared" si="87"/>
        <v>4450</v>
      </c>
      <c r="AB149" s="184">
        <f t="shared" si="87"/>
        <v>4450</v>
      </c>
      <c r="AC149" s="184">
        <f t="shared" si="87"/>
        <v>4450</v>
      </c>
      <c r="AD149" s="184">
        <f t="shared" si="87"/>
        <v>4450</v>
      </c>
      <c r="AE149" s="356">
        <f t="shared" si="87"/>
        <v>4450</v>
      </c>
      <c r="AF149" s="73"/>
    </row>
    <row r="150" spans="2:32" s="83" customFormat="1" ht="12.75" customHeight="1">
      <c r="B150" s="112" t="str">
        <f t="shared" si="85"/>
        <v>Horns Rev 3</v>
      </c>
      <c r="C150"/>
      <c r="D150" s="184"/>
      <c r="E150" s="184"/>
      <c r="F150" s="184"/>
      <c r="G150" s="184"/>
      <c r="H150" s="184"/>
      <c r="I150" s="184"/>
      <c r="J150" s="210">
        <v>4500</v>
      </c>
      <c r="K150" s="356">
        <f t="shared" si="86"/>
        <v>4500</v>
      </c>
      <c r="L150" s="184">
        <f t="shared" si="86"/>
        <v>4500</v>
      </c>
      <c r="M150" s="184">
        <f t="shared" si="86"/>
        <v>4500</v>
      </c>
      <c r="N150" s="184">
        <f t="shared" si="86"/>
        <v>4500</v>
      </c>
      <c r="O150" s="184">
        <f t="shared" si="86"/>
        <v>4500</v>
      </c>
      <c r="P150" s="356">
        <f t="shared" si="86"/>
        <v>4500</v>
      </c>
      <c r="Q150" s="184">
        <f t="shared" si="86"/>
        <v>4500</v>
      </c>
      <c r="R150" s="184">
        <f t="shared" si="86"/>
        <v>4500</v>
      </c>
      <c r="S150" s="184">
        <f t="shared" si="86"/>
        <v>4500</v>
      </c>
      <c r="T150" s="184">
        <f t="shared" si="86"/>
        <v>4500</v>
      </c>
      <c r="U150" s="356">
        <f t="shared" si="86"/>
        <v>4500</v>
      </c>
      <c r="V150" s="184">
        <f t="shared" si="86"/>
        <v>4500</v>
      </c>
      <c r="W150" s="184">
        <f t="shared" si="87"/>
        <v>4500</v>
      </c>
      <c r="X150" s="184">
        <f t="shared" si="87"/>
        <v>4500</v>
      </c>
      <c r="Y150" s="184">
        <f t="shared" si="87"/>
        <v>4500</v>
      </c>
      <c r="Z150" s="356">
        <f t="shared" si="87"/>
        <v>4500</v>
      </c>
      <c r="AA150" s="184">
        <f t="shared" si="87"/>
        <v>4500</v>
      </c>
      <c r="AB150" s="184">
        <f t="shared" si="87"/>
        <v>4500</v>
      </c>
      <c r="AC150" s="184">
        <f t="shared" si="87"/>
        <v>4500</v>
      </c>
      <c r="AD150" s="184">
        <f t="shared" si="87"/>
        <v>4500</v>
      </c>
      <c r="AE150" s="356">
        <f t="shared" si="87"/>
        <v>4500</v>
      </c>
      <c r="AF150" s="73"/>
    </row>
    <row r="151" spans="2:32" s="83" customFormat="1" ht="12.75" customHeight="1">
      <c r="B151" s="112" t="str">
        <f t="shared" si="85"/>
        <v>Kriegers flak</v>
      </c>
      <c r="C151"/>
      <c r="D151" s="184"/>
      <c r="E151" s="184"/>
      <c r="F151" s="184"/>
      <c r="G151" s="184"/>
      <c r="H151" s="184"/>
      <c r="I151" s="184"/>
      <c r="J151" s="184"/>
      <c r="K151" s="385">
        <v>4250</v>
      </c>
      <c r="L151" s="184">
        <f t="shared" si="86"/>
        <v>4250</v>
      </c>
      <c r="M151" s="184">
        <f t="shared" si="86"/>
        <v>4250</v>
      </c>
      <c r="N151" s="184">
        <f t="shared" si="86"/>
        <v>4250</v>
      </c>
      <c r="O151" s="184">
        <f t="shared" si="86"/>
        <v>4250</v>
      </c>
      <c r="P151" s="356">
        <f t="shared" si="86"/>
        <v>4250</v>
      </c>
      <c r="Q151" s="184">
        <f t="shared" si="86"/>
        <v>4250</v>
      </c>
      <c r="R151" s="184">
        <f t="shared" si="86"/>
        <v>4250</v>
      </c>
      <c r="S151" s="184">
        <f t="shared" si="86"/>
        <v>4250</v>
      </c>
      <c r="T151" s="184">
        <f t="shared" si="86"/>
        <v>4250</v>
      </c>
      <c r="U151" s="356">
        <f t="shared" si="86"/>
        <v>4250</v>
      </c>
      <c r="V151" s="184">
        <f t="shared" si="86"/>
        <v>4250</v>
      </c>
      <c r="W151" s="184">
        <f t="shared" si="87"/>
        <v>4250</v>
      </c>
      <c r="X151" s="184">
        <f t="shared" si="87"/>
        <v>4250</v>
      </c>
      <c r="Y151" s="184">
        <f t="shared" si="87"/>
        <v>4250</v>
      </c>
      <c r="Z151" s="356">
        <f t="shared" si="87"/>
        <v>4250</v>
      </c>
      <c r="AA151" s="184">
        <f t="shared" si="87"/>
        <v>4250</v>
      </c>
      <c r="AB151" s="184">
        <f t="shared" si="87"/>
        <v>4250</v>
      </c>
      <c r="AC151" s="184">
        <f t="shared" si="87"/>
        <v>4250</v>
      </c>
      <c r="AD151" s="184">
        <f t="shared" si="87"/>
        <v>4250</v>
      </c>
      <c r="AE151" s="356">
        <f t="shared" si="87"/>
        <v>4250</v>
      </c>
      <c r="AF151" s="73"/>
    </row>
    <row r="152" spans="2:32" s="83" customFormat="1" ht="12.75" customHeight="1">
      <c r="B152" s="834" t="str">
        <f t="shared" si="85"/>
        <v>Horns Rev 4 (evt. kombi med HR1-repower)</v>
      </c>
      <c r="C152" s="215"/>
      <c r="D152" s="184"/>
      <c r="E152" s="184"/>
      <c r="F152" s="184"/>
      <c r="G152" s="184"/>
      <c r="H152" s="184"/>
      <c r="I152" s="184"/>
      <c r="J152" s="184"/>
      <c r="K152" s="356"/>
      <c r="L152" s="184"/>
      <c r="M152" s="184"/>
      <c r="N152" s="184"/>
      <c r="O152" s="184"/>
      <c r="P152" s="356"/>
      <c r="Q152" s="184"/>
      <c r="R152" s="210">
        <v>4600</v>
      </c>
      <c r="S152" s="184">
        <f t="shared" si="86"/>
        <v>4600</v>
      </c>
      <c r="T152" s="184">
        <f t="shared" si="86"/>
        <v>4600</v>
      </c>
      <c r="U152" s="356">
        <f t="shared" si="86"/>
        <v>4600</v>
      </c>
      <c r="V152" s="184">
        <f t="shared" si="86"/>
        <v>4600</v>
      </c>
      <c r="W152" s="184">
        <f t="shared" si="87"/>
        <v>4600</v>
      </c>
      <c r="X152" s="184">
        <f t="shared" si="87"/>
        <v>4600</v>
      </c>
      <c r="Y152" s="184">
        <f t="shared" si="87"/>
        <v>4600</v>
      </c>
      <c r="Z152" s="356">
        <f t="shared" si="87"/>
        <v>4600</v>
      </c>
      <c r="AA152" s="184">
        <f t="shared" si="87"/>
        <v>4600</v>
      </c>
      <c r="AB152" s="184">
        <f t="shared" si="87"/>
        <v>4600</v>
      </c>
      <c r="AC152" s="184">
        <f t="shared" si="87"/>
        <v>4600</v>
      </c>
      <c r="AD152" s="184">
        <f t="shared" si="87"/>
        <v>4600</v>
      </c>
      <c r="AE152" s="356">
        <f t="shared" si="87"/>
        <v>4600</v>
      </c>
      <c r="AF152" s="73"/>
    </row>
    <row r="153" spans="2:32" s="83" customFormat="1" ht="12.75" customHeight="1">
      <c r="B153" s="834" t="str">
        <f t="shared" si="85"/>
        <v>Jammerbugt el. Ringkøbing</v>
      </c>
      <c r="C153" s="215"/>
      <c r="D153" s="184"/>
      <c r="E153" s="184"/>
      <c r="F153" s="184"/>
      <c r="G153" s="184"/>
      <c r="H153" s="184"/>
      <c r="I153" s="184"/>
      <c r="J153" s="184"/>
      <c r="K153" s="356"/>
      <c r="L153" s="184"/>
      <c r="M153" s="184"/>
      <c r="N153" s="184"/>
      <c r="O153" s="184"/>
      <c r="P153" s="356"/>
      <c r="Q153" s="184"/>
      <c r="R153" s="184"/>
      <c r="S153" s="184"/>
      <c r="T153" s="184"/>
      <c r="U153" s="385">
        <v>4600</v>
      </c>
      <c r="V153" s="184">
        <f t="shared" si="86"/>
        <v>4600</v>
      </c>
      <c r="W153" s="184">
        <f t="shared" si="87"/>
        <v>4600</v>
      </c>
      <c r="X153" s="184">
        <f t="shared" si="87"/>
        <v>4600</v>
      </c>
      <c r="Y153" s="184">
        <f t="shared" si="87"/>
        <v>4600</v>
      </c>
      <c r="Z153" s="356">
        <f t="shared" si="87"/>
        <v>4600</v>
      </c>
      <c r="AA153" s="184">
        <f t="shared" si="87"/>
        <v>4600</v>
      </c>
      <c r="AB153" s="184">
        <f t="shared" si="87"/>
        <v>4600</v>
      </c>
      <c r="AC153" s="184">
        <f t="shared" si="87"/>
        <v>4600</v>
      </c>
      <c r="AD153" s="184">
        <f t="shared" si="87"/>
        <v>4600</v>
      </c>
      <c r="AE153" s="356">
        <f t="shared" si="87"/>
        <v>4600</v>
      </c>
      <c r="AF153" s="73"/>
    </row>
    <row r="154" spans="2:32" s="83" customFormat="1" ht="12.75" customHeight="1">
      <c r="B154" s="834" t="str">
        <f t="shared" si="85"/>
        <v>Horns Rev 5 (evt. kombi med HR2-repower)</v>
      </c>
      <c r="C154" s="215"/>
      <c r="D154" s="184"/>
      <c r="E154" s="184"/>
      <c r="F154" s="184"/>
      <c r="G154" s="184"/>
      <c r="H154" s="184"/>
      <c r="I154" s="184"/>
      <c r="J154" s="184"/>
      <c r="K154" s="356"/>
      <c r="L154" s="184"/>
      <c r="M154" s="184"/>
      <c r="N154" s="184"/>
      <c r="O154" s="184"/>
      <c r="P154" s="356"/>
      <c r="Q154" s="184"/>
      <c r="R154" s="184"/>
      <c r="S154" s="184"/>
      <c r="T154" s="184"/>
      <c r="U154" s="356"/>
      <c r="V154" s="184"/>
      <c r="W154" s="184"/>
      <c r="X154" s="210">
        <v>4700</v>
      </c>
      <c r="Y154" s="184">
        <f t="shared" si="87"/>
        <v>4700</v>
      </c>
      <c r="Z154" s="356">
        <f t="shared" si="87"/>
        <v>4700</v>
      </c>
      <c r="AA154" s="184">
        <f t="shared" si="87"/>
        <v>4700</v>
      </c>
      <c r="AB154" s="184">
        <f t="shared" si="87"/>
        <v>4700</v>
      </c>
      <c r="AC154" s="184">
        <f t="shared" si="87"/>
        <v>4700</v>
      </c>
      <c r="AD154" s="184">
        <f t="shared" si="87"/>
        <v>4700</v>
      </c>
      <c r="AE154" s="356">
        <f t="shared" si="87"/>
        <v>4700</v>
      </c>
      <c r="AF154" s="73"/>
    </row>
    <row r="155" spans="2:32" s="83" customFormat="1" ht="12.75" customHeight="1">
      <c r="B155" s="834" t="str">
        <f t="shared" si="85"/>
        <v>Rødsand 1 + 2 repower</v>
      </c>
      <c r="C155" s="215"/>
      <c r="D155" s="184"/>
      <c r="E155" s="184"/>
      <c r="F155" s="184"/>
      <c r="G155" s="184"/>
      <c r="H155" s="184"/>
      <c r="I155" s="184"/>
      <c r="J155" s="184"/>
      <c r="K155" s="356"/>
      <c r="L155" s="184"/>
      <c r="M155" s="184"/>
      <c r="N155" s="184"/>
      <c r="O155" s="184"/>
      <c r="P155" s="356"/>
      <c r="Q155" s="184"/>
      <c r="R155" s="184"/>
      <c r="S155" s="184"/>
      <c r="T155" s="184"/>
      <c r="U155" s="356"/>
      <c r="V155" s="184"/>
      <c r="W155" s="184"/>
      <c r="X155" s="184"/>
      <c r="Y155" s="184"/>
      <c r="Z155" s="356"/>
      <c r="AA155" s="387">
        <v>4300</v>
      </c>
      <c r="AB155" s="184">
        <f t="shared" si="87"/>
        <v>4300</v>
      </c>
      <c r="AC155" s="184">
        <f t="shared" si="87"/>
        <v>4300</v>
      </c>
      <c r="AD155" s="184">
        <f t="shared" si="87"/>
        <v>4300</v>
      </c>
      <c r="AE155" s="356">
        <f t="shared" si="87"/>
        <v>4300</v>
      </c>
      <c r="AF155" s="73"/>
    </row>
    <row r="156" spans="2:32" s="83" customFormat="1" ht="12.75" customHeight="1">
      <c r="B156" s="834" t="str">
        <f t="shared" si="85"/>
        <v>Jammerbugt el. Ringkøbing</v>
      </c>
      <c r="C156" s="215"/>
      <c r="D156" s="184"/>
      <c r="E156" s="184"/>
      <c r="F156" s="184"/>
      <c r="G156" s="184"/>
      <c r="H156" s="184"/>
      <c r="I156" s="184"/>
      <c r="J156" s="184"/>
      <c r="K156" s="356"/>
      <c r="L156" s="184"/>
      <c r="M156" s="184"/>
      <c r="N156" s="184"/>
      <c r="O156" s="184"/>
      <c r="P156" s="356"/>
      <c r="Q156" s="184"/>
      <c r="R156" s="184"/>
      <c r="S156" s="184"/>
      <c r="T156" s="184"/>
      <c r="U156" s="356"/>
      <c r="V156" s="184"/>
      <c r="W156" s="184"/>
      <c r="X156" s="184"/>
      <c r="Y156" s="184"/>
      <c r="Z156" s="356"/>
      <c r="AA156" s="184"/>
      <c r="AB156" s="184"/>
      <c r="AC156" s="184"/>
      <c r="AD156" s="239">
        <v>4700</v>
      </c>
      <c r="AE156" s="356">
        <f t="shared" si="87"/>
        <v>4700</v>
      </c>
      <c r="AF156" s="73"/>
    </row>
    <row r="157" spans="2:32" s="83" customFormat="1" ht="12.75" customHeight="1">
      <c r="B157" s="112"/>
      <c r="C157" s="215"/>
      <c r="D157" s="184"/>
      <c r="E157" s="184"/>
      <c r="F157" s="184"/>
      <c r="G157" s="184"/>
      <c r="H157" s="184"/>
      <c r="I157" s="184"/>
      <c r="J157" s="184"/>
      <c r="K157" s="356"/>
      <c r="L157" s="184"/>
      <c r="M157" s="184"/>
      <c r="N157" s="184"/>
      <c r="O157" s="184"/>
      <c r="P157" s="356"/>
      <c r="Q157" s="184"/>
      <c r="R157" s="184"/>
      <c r="S157" s="184"/>
      <c r="T157" s="184"/>
      <c r="U157" s="356"/>
      <c r="V157" s="184"/>
      <c r="W157" s="184"/>
      <c r="X157" s="184"/>
      <c r="Y157" s="184"/>
      <c r="Z157" s="356"/>
      <c r="AA157" s="184"/>
      <c r="AB157" s="184"/>
      <c r="AC157" s="184"/>
      <c r="AD157" s="184"/>
      <c r="AE157" s="368"/>
      <c r="AF157" s="73"/>
    </row>
    <row r="158" spans="2:32" s="83" customFormat="1" ht="12.75" customHeight="1">
      <c r="B158" s="102" t="s">
        <v>193</v>
      </c>
      <c r="C158" s="215"/>
      <c r="F158"/>
      <c r="G158"/>
      <c r="H158" s="184"/>
      <c r="I158" s="184"/>
      <c r="J158" s="184"/>
      <c r="K158" s="356"/>
      <c r="L158" s="184"/>
      <c r="M158" s="184"/>
      <c r="N158" s="184"/>
      <c r="O158" s="184"/>
      <c r="P158" s="356"/>
      <c r="Q158" s="184"/>
      <c r="R158" s="184"/>
      <c r="S158" s="184"/>
      <c r="T158" s="184"/>
      <c r="U158" s="356"/>
      <c r="V158" s="184"/>
      <c r="W158" s="184"/>
      <c r="X158" s="184"/>
      <c r="Y158" s="184"/>
      <c r="Z158" s="356"/>
      <c r="AA158" s="184"/>
      <c r="AB158" s="184"/>
      <c r="AC158" s="184"/>
      <c r="AD158" s="184"/>
      <c r="AE158" s="368"/>
      <c r="AF158" s="73"/>
    </row>
    <row r="159" spans="2:32" s="83" customFormat="1" ht="12.75" customHeight="1">
      <c r="B159" s="112" t="str">
        <f t="shared" ref="B159:B170" si="89">+B60</f>
        <v>Horns Rev 1 (2002)</v>
      </c>
      <c r="C159" s="215"/>
      <c r="D159" s="184">
        <f t="shared" ref="D159:AE159" si="90">D60*D145/1000</f>
        <v>640</v>
      </c>
      <c r="E159" s="184">
        <f t="shared" si="90"/>
        <v>640</v>
      </c>
      <c r="F159" s="184">
        <f t="shared" si="90"/>
        <v>640</v>
      </c>
      <c r="G159" s="184">
        <f t="shared" si="90"/>
        <v>640</v>
      </c>
      <c r="H159" s="184">
        <f t="shared" si="90"/>
        <v>640</v>
      </c>
      <c r="I159" s="184">
        <f t="shared" si="90"/>
        <v>640</v>
      </c>
      <c r="J159" s="184">
        <f t="shared" si="90"/>
        <v>640</v>
      </c>
      <c r="K159" s="356">
        <f t="shared" si="90"/>
        <v>640</v>
      </c>
      <c r="L159" s="184">
        <f t="shared" si="90"/>
        <v>640</v>
      </c>
      <c r="M159" s="184">
        <f t="shared" si="90"/>
        <v>640</v>
      </c>
      <c r="N159" s="184">
        <f t="shared" si="90"/>
        <v>640</v>
      </c>
      <c r="O159" s="184">
        <f t="shared" si="90"/>
        <v>640</v>
      </c>
      <c r="P159" s="356">
        <f t="shared" si="90"/>
        <v>640</v>
      </c>
      <c r="Q159" s="184">
        <f t="shared" si="90"/>
        <v>640</v>
      </c>
      <c r="R159" s="184">
        <f t="shared" si="90"/>
        <v>640</v>
      </c>
      <c r="S159" s="184">
        <f t="shared" si="90"/>
        <v>0</v>
      </c>
      <c r="T159" s="184">
        <f t="shared" si="90"/>
        <v>0</v>
      </c>
      <c r="U159" s="356">
        <f t="shared" si="90"/>
        <v>0</v>
      </c>
      <c r="V159" s="184">
        <f t="shared" si="90"/>
        <v>0</v>
      </c>
      <c r="W159" s="184">
        <f t="shared" si="90"/>
        <v>0</v>
      </c>
      <c r="X159" s="184">
        <f t="shared" si="90"/>
        <v>0</v>
      </c>
      <c r="Y159" s="184">
        <f t="shared" si="90"/>
        <v>0</v>
      </c>
      <c r="Z159" s="356">
        <f t="shared" si="90"/>
        <v>0</v>
      </c>
      <c r="AA159" s="184">
        <f t="shared" si="90"/>
        <v>0</v>
      </c>
      <c r="AB159" s="184">
        <f t="shared" si="90"/>
        <v>0</v>
      </c>
      <c r="AC159" s="184">
        <f t="shared" si="90"/>
        <v>0</v>
      </c>
      <c r="AD159" s="184">
        <f t="shared" si="90"/>
        <v>0</v>
      </c>
      <c r="AE159" s="356">
        <f t="shared" si="90"/>
        <v>0</v>
      </c>
      <c r="AF159" s="73"/>
    </row>
    <row r="160" spans="2:32" s="83" customFormat="1" ht="12.75" customHeight="1">
      <c r="B160" s="112" t="str">
        <f t="shared" si="89"/>
        <v>Rødsand 1 / Nysted (2003)</v>
      </c>
      <c r="C160" s="215"/>
      <c r="D160" s="184">
        <f t="shared" ref="D160:AE160" si="91">D61*D146/1000</f>
        <v>571.32000000000005</v>
      </c>
      <c r="E160" s="184">
        <f t="shared" si="91"/>
        <v>571.32000000000005</v>
      </c>
      <c r="F160" s="184">
        <f t="shared" si="91"/>
        <v>571.32000000000005</v>
      </c>
      <c r="G160" s="184">
        <f t="shared" si="91"/>
        <v>571.32000000000005</v>
      </c>
      <c r="H160" s="184">
        <f t="shared" si="91"/>
        <v>571.32000000000005</v>
      </c>
      <c r="I160" s="184">
        <f t="shared" si="91"/>
        <v>571.32000000000005</v>
      </c>
      <c r="J160" s="184">
        <f t="shared" si="91"/>
        <v>571.32000000000005</v>
      </c>
      <c r="K160" s="356">
        <f t="shared" si="91"/>
        <v>571.32000000000005</v>
      </c>
      <c r="L160" s="184">
        <f t="shared" si="91"/>
        <v>571.32000000000005</v>
      </c>
      <c r="M160" s="184">
        <f t="shared" si="91"/>
        <v>571.32000000000005</v>
      </c>
      <c r="N160" s="184">
        <f t="shared" si="91"/>
        <v>571.32000000000005</v>
      </c>
      <c r="O160" s="184">
        <f t="shared" si="91"/>
        <v>571.32000000000005</v>
      </c>
      <c r="P160" s="356">
        <f t="shared" si="91"/>
        <v>571.32000000000005</v>
      </c>
      <c r="Q160" s="184">
        <f t="shared" si="91"/>
        <v>571.32000000000005</v>
      </c>
      <c r="R160" s="184">
        <f t="shared" si="91"/>
        <v>571.32000000000005</v>
      </c>
      <c r="S160" s="184">
        <f t="shared" si="91"/>
        <v>571.32000000000005</v>
      </c>
      <c r="T160" s="184">
        <f t="shared" si="91"/>
        <v>0</v>
      </c>
      <c r="U160" s="356">
        <f t="shared" si="91"/>
        <v>0</v>
      </c>
      <c r="V160" s="184">
        <f t="shared" si="91"/>
        <v>0</v>
      </c>
      <c r="W160" s="184">
        <f t="shared" si="91"/>
        <v>0</v>
      </c>
      <c r="X160" s="184">
        <f t="shared" si="91"/>
        <v>0</v>
      </c>
      <c r="Y160" s="399">
        <f t="shared" si="91"/>
        <v>0</v>
      </c>
      <c r="Z160" s="356">
        <f t="shared" si="91"/>
        <v>0</v>
      </c>
      <c r="AA160" s="184">
        <f t="shared" si="91"/>
        <v>0</v>
      </c>
      <c r="AB160" s="184">
        <f t="shared" si="91"/>
        <v>0</v>
      </c>
      <c r="AC160" s="184">
        <f t="shared" si="91"/>
        <v>0</v>
      </c>
      <c r="AD160" s="184">
        <f t="shared" si="91"/>
        <v>0</v>
      </c>
      <c r="AE160" s="356">
        <f t="shared" si="91"/>
        <v>0</v>
      </c>
      <c r="AF160" s="73"/>
    </row>
    <row r="161" spans="1:32" s="83" customFormat="1" ht="12.75" customHeight="1">
      <c r="B161" s="112" t="str">
        <f t="shared" si="89"/>
        <v>Horns Rev 2 (2009)</v>
      </c>
      <c r="C161" s="215"/>
      <c r="D161" s="184">
        <f t="shared" ref="D161:AE161" si="92">D62*D147/1000</f>
        <v>920.92</v>
      </c>
      <c r="E161" s="184">
        <f t="shared" si="92"/>
        <v>920.92</v>
      </c>
      <c r="F161" s="184">
        <f t="shared" si="92"/>
        <v>920.92</v>
      </c>
      <c r="G161" s="184">
        <f t="shared" si="92"/>
        <v>920.92</v>
      </c>
      <c r="H161" s="184">
        <f t="shared" si="92"/>
        <v>920.92</v>
      </c>
      <c r="I161" s="184">
        <f t="shared" si="92"/>
        <v>920.92</v>
      </c>
      <c r="J161" s="184">
        <f t="shared" si="92"/>
        <v>920.92</v>
      </c>
      <c r="K161" s="356">
        <f t="shared" si="92"/>
        <v>920.92</v>
      </c>
      <c r="L161" s="184">
        <f t="shared" si="92"/>
        <v>920.92</v>
      </c>
      <c r="M161" s="184">
        <f t="shared" si="92"/>
        <v>920.92</v>
      </c>
      <c r="N161" s="184">
        <f t="shared" si="92"/>
        <v>920.92</v>
      </c>
      <c r="O161" s="184">
        <f t="shared" si="92"/>
        <v>920.92</v>
      </c>
      <c r="P161" s="356">
        <f t="shared" si="92"/>
        <v>920.92</v>
      </c>
      <c r="Q161" s="184">
        <f t="shared" si="92"/>
        <v>920.92</v>
      </c>
      <c r="R161" s="184">
        <f t="shared" si="92"/>
        <v>920.92</v>
      </c>
      <c r="S161" s="184">
        <f t="shared" si="92"/>
        <v>920.92</v>
      </c>
      <c r="T161" s="184">
        <f t="shared" si="92"/>
        <v>920.92</v>
      </c>
      <c r="U161" s="356">
        <f t="shared" si="92"/>
        <v>920.92</v>
      </c>
      <c r="V161" s="184">
        <f t="shared" si="92"/>
        <v>920.92</v>
      </c>
      <c r="W161" s="184">
        <f t="shared" si="92"/>
        <v>920.92</v>
      </c>
      <c r="X161" s="184">
        <f t="shared" si="92"/>
        <v>920.92</v>
      </c>
      <c r="Y161" s="184">
        <f t="shared" si="92"/>
        <v>920.92</v>
      </c>
      <c r="Z161" s="356">
        <f t="shared" si="92"/>
        <v>0</v>
      </c>
      <c r="AA161" s="184">
        <f t="shared" si="92"/>
        <v>0</v>
      </c>
      <c r="AB161" s="184">
        <f t="shared" si="92"/>
        <v>0</v>
      </c>
      <c r="AC161" s="184">
        <f t="shared" si="92"/>
        <v>0</v>
      </c>
      <c r="AD161" s="184">
        <f t="shared" si="92"/>
        <v>0</v>
      </c>
      <c r="AE161" s="356">
        <f t="shared" si="92"/>
        <v>0</v>
      </c>
      <c r="AF161" s="73"/>
    </row>
    <row r="162" spans="1:32" s="83" customFormat="1" ht="12.75" customHeight="1">
      <c r="B162" s="112" t="str">
        <f t="shared" si="89"/>
        <v>Rødsand 2 (2010)</v>
      </c>
      <c r="C162" s="215"/>
      <c r="D162" s="184">
        <f t="shared" ref="D162:AE162" si="93">D63*D148/1000</f>
        <v>807.3</v>
      </c>
      <c r="E162" s="184">
        <f t="shared" si="93"/>
        <v>807.3</v>
      </c>
      <c r="F162" s="184">
        <f t="shared" si="93"/>
        <v>807.3</v>
      </c>
      <c r="G162" s="184">
        <f t="shared" si="93"/>
        <v>807.3</v>
      </c>
      <c r="H162" s="184">
        <f t="shared" si="93"/>
        <v>807.3</v>
      </c>
      <c r="I162" s="184">
        <f t="shared" si="93"/>
        <v>807.3</v>
      </c>
      <c r="J162" s="184">
        <f t="shared" si="93"/>
        <v>807.3</v>
      </c>
      <c r="K162" s="356">
        <f t="shared" si="93"/>
        <v>807.3</v>
      </c>
      <c r="L162" s="184">
        <f t="shared" si="93"/>
        <v>807.3</v>
      </c>
      <c r="M162" s="184">
        <f t="shared" si="93"/>
        <v>807.3</v>
      </c>
      <c r="N162" s="184">
        <f t="shared" si="93"/>
        <v>807.3</v>
      </c>
      <c r="O162" s="184">
        <f t="shared" si="93"/>
        <v>807.3</v>
      </c>
      <c r="P162" s="356">
        <f t="shared" si="93"/>
        <v>807.3</v>
      </c>
      <c r="Q162" s="184">
        <f t="shared" si="93"/>
        <v>807.3</v>
      </c>
      <c r="R162" s="184">
        <f t="shared" si="93"/>
        <v>807.3</v>
      </c>
      <c r="S162" s="184">
        <f t="shared" si="93"/>
        <v>807.3</v>
      </c>
      <c r="T162" s="184">
        <f t="shared" si="93"/>
        <v>807.3</v>
      </c>
      <c r="U162" s="356">
        <f t="shared" si="93"/>
        <v>807.3</v>
      </c>
      <c r="V162" s="184">
        <f t="shared" si="93"/>
        <v>807.3</v>
      </c>
      <c r="W162" s="184">
        <f t="shared" si="93"/>
        <v>807.3</v>
      </c>
      <c r="X162" s="184">
        <f t="shared" si="93"/>
        <v>807.3</v>
      </c>
      <c r="Y162" s="184">
        <f t="shared" si="93"/>
        <v>807.3</v>
      </c>
      <c r="Z162" s="356">
        <f t="shared" si="93"/>
        <v>807.3</v>
      </c>
      <c r="AA162" s="184">
        <f t="shared" si="93"/>
        <v>0</v>
      </c>
      <c r="AB162" s="184">
        <f t="shared" si="93"/>
        <v>0</v>
      </c>
      <c r="AC162" s="184">
        <f t="shared" si="93"/>
        <v>0</v>
      </c>
      <c r="AD162" s="184">
        <f t="shared" si="93"/>
        <v>0</v>
      </c>
      <c r="AE162" s="356">
        <f t="shared" si="93"/>
        <v>0</v>
      </c>
      <c r="AF162" s="73"/>
    </row>
    <row r="163" spans="1:32" s="83" customFormat="1" ht="12.75" customHeight="1">
      <c r="B163" s="112" t="str">
        <f t="shared" si="89"/>
        <v>Anholt (2013)</v>
      </c>
      <c r="C163" s="215"/>
      <c r="D163" s="184">
        <f t="shared" ref="D163:AE163" si="94">D64*D149/1000</f>
        <v>224.28</v>
      </c>
      <c r="E163" s="184">
        <f t="shared" si="94"/>
        <v>1778.22</v>
      </c>
      <c r="F163" s="184">
        <f t="shared" si="94"/>
        <v>1778.22</v>
      </c>
      <c r="G163" s="184">
        <f t="shared" si="94"/>
        <v>1778.22</v>
      </c>
      <c r="H163" s="184">
        <f t="shared" si="94"/>
        <v>1778.22</v>
      </c>
      <c r="I163" s="184">
        <f t="shared" si="94"/>
        <v>1778.22</v>
      </c>
      <c r="J163" s="184">
        <f t="shared" si="94"/>
        <v>1778.22</v>
      </c>
      <c r="K163" s="356">
        <f t="shared" si="94"/>
        <v>1778.22</v>
      </c>
      <c r="L163" s="184">
        <f t="shared" si="94"/>
        <v>1778.22</v>
      </c>
      <c r="M163" s="184">
        <f t="shared" si="94"/>
        <v>1778.22</v>
      </c>
      <c r="N163" s="184">
        <f t="shared" si="94"/>
        <v>1778.22</v>
      </c>
      <c r="O163" s="184">
        <f t="shared" si="94"/>
        <v>1778.22</v>
      </c>
      <c r="P163" s="356">
        <f t="shared" si="94"/>
        <v>1778.22</v>
      </c>
      <c r="Q163" s="184">
        <f t="shared" si="94"/>
        <v>1778.22</v>
      </c>
      <c r="R163" s="184">
        <f t="shared" si="94"/>
        <v>1778.22</v>
      </c>
      <c r="S163" s="184">
        <f t="shared" si="94"/>
        <v>1778.22</v>
      </c>
      <c r="T163" s="184">
        <f t="shared" si="94"/>
        <v>1778.22</v>
      </c>
      <c r="U163" s="356">
        <f t="shared" si="94"/>
        <v>1778.22</v>
      </c>
      <c r="V163" s="184">
        <f t="shared" si="94"/>
        <v>1778.22</v>
      </c>
      <c r="W163" s="184">
        <f t="shared" si="94"/>
        <v>1778.22</v>
      </c>
      <c r="X163" s="184">
        <f t="shared" si="94"/>
        <v>1778.22</v>
      </c>
      <c r="Y163" s="184">
        <f t="shared" si="94"/>
        <v>1778.22</v>
      </c>
      <c r="Z163" s="356">
        <f t="shared" si="94"/>
        <v>1778.22</v>
      </c>
      <c r="AA163" s="184">
        <f t="shared" si="94"/>
        <v>1778.22</v>
      </c>
      <c r="AB163" s="184">
        <f t="shared" si="94"/>
        <v>1778.22</v>
      </c>
      <c r="AC163" s="184">
        <f t="shared" si="94"/>
        <v>1778.22</v>
      </c>
      <c r="AD163" s="184">
        <f t="shared" si="94"/>
        <v>0</v>
      </c>
      <c r="AE163" s="356">
        <f t="shared" si="94"/>
        <v>0</v>
      </c>
      <c r="AF163" s="73"/>
    </row>
    <row r="164" spans="1:32" s="83" customFormat="1" ht="12.75" customHeight="1">
      <c r="B164" s="112" t="str">
        <f t="shared" si="89"/>
        <v>Horns Rev 3</v>
      </c>
      <c r="C164" s="215"/>
      <c r="D164" s="184">
        <f t="shared" ref="D164:AE164" si="95">D65*D150/1000</f>
        <v>0</v>
      </c>
      <c r="E164" s="184">
        <f t="shared" si="95"/>
        <v>0</v>
      </c>
      <c r="F164" s="184">
        <f t="shared" si="95"/>
        <v>0</v>
      </c>
      <c r="G164" s="184">
        <f t="shared" si="95"/>
        <v>0</v>
      </c>
      <c r="H164" s="184">
        <f t="shared" si="95"/>
        <v>0</v>
      </c>
      <c r="I164" s="184">
        <f t="shared" si="95"/>
        <v>0</v>
      </c>
      <c r="J164" s="184">
        <f t="shared" si="95"/>
        <v>1830.15</v>
      </c>
      <c r="K164" s="356">
        <f t="shared" si="95"/>
        <v>1830.15</v>
      </c>
      <c r="L164" s="184">
        <f t="shared" si="95"/>
        <v>1830.15</v>
      </c>
      <c r="M164" s="184">
        <f t="shared" si="95"/>
        <v>1830.15</v>
      </c>
      <c r="N164" s="184">
        <f t="shared" si="95"/>
        <v>1830.15</v>
      </c>
      <c r="O164" s="184">
        <f t="shared" si="95"/>
        <v>1830.15</v>
      </c>
      <c r="P164" s="356">
        <f t="shared" si="95"/>
        <v>1830.15</v>
      </c>
      <c r="Q164" s="184">
        <f t="shared" si="95"/>
        <v>1830.15</v>
      </c>
      <c r="R164" s="184">
        <f t="shared" si="95"/>
        <v>1830.15</v>
      </c>
      <c r="S164" s="184">
        <f t="shared" si="95"/>
        <v>1830.15</v>
      </c>
      <c r="T164" s="184">
        <f t="shared" si="95"/>
        <v>1830.15</v>
      </c>
      <c r="U164" s="356">
        <f t="shared" si="95"/>
        <v>1830.15</v>
      </c>
      <c r="V164" s="184">
        <f t="shared" si="95"/>
        <v>1830.15</v>
      </c>
      <c r="W164" s="184">
        <f t="shared" si="95"/>
        <v>1830.15</v>
      </c>
      <c r="X164" s="184">
        <f t="shared" si="95"/>
        <v>1830.15</v>
      </c>
      <c r="Y164" s="184">
        <f t="shared" si="95"/>
        <v>1830.15</v>
      </c>
      <c r="Z164" s="356">
        <f t="shared" si="95"/>
        <v>1830.15</v>
      </c>
      <c r="AA164" s="184">
        <f t="shared" si="95"/>
        <v>1830.15</v>
      </c>
      <c r="AB164" s="184">
        <f t="shared" si="95"/>
        <v>1830.15</v>
      </c>
      <c r="AC164" s="184">
        <f t="shared" si="95"/>
        <v>1830.15</v>
      </c>
      <c r="AD164" s="184">
        <f t="shared" si="95"/>
        <v>1830.15</v>
      </c>
      <c r="AE164" s="356">
        <f t="shared" si="95"/>
        <v>1830.15</v>
      </c>
      <c r="AF164" s="73"/>
    </row>
    <row r="165" spans="1:32" s="83" customFormat="1" ht="12.75" customHeight="1">
      <c r="B165" s="112" t="str">
        <f t="shared" si="89"/>
        <v>Kriegers flak</v>
      </c>
      <c r="C165" s="215"/>
      <c r="D165" s="184">
        <f t="shared" ref="D165:AE165" si="96">D66*D151/1000</f>
        <v>0</v>
      </c>
      <c r="E165" s="184">
        <f t="shared" si="96"/>
        <v>0</v>
      </c>
      <c r="F165" s="184">
        <f t="shared" si="96"/>
        <v>0</v>
      </c>
      <c r="G165" s="184">
        <f t="shared" si="96"/>
        <v>0</v>
      </c>
      <c r="H165" s="184">
        <f t="shared" si="96"/>
        <v>0</v>
      </c>
      <c r="I165" s="184">
        <f t="shared" si="96"/>
        <v>0</v>
      </c>
      <c r="J165" s="184">
        <f t="shared" si="96"/>
        <v>0</v>
      </c>
      <c r="K165" s="356">
        <f t="shared" si="96"/>
        <v>850</v>
      </c>
      <c r="L165" s="184">
        <f t="shared" si="96"/>
        <v>1700</v>
      </c>
      <c r="M165" s="184">
        <f t="shared" si="96"/>
        <v>2550</v>
      </c>
      <c r="N165" s="184">
        <f t="shared" si="96"/>
        <v>2550</v>
      </c>
      <c r="O165" s="184">
        <f t="shared" si="96"/>
        <v>2550</v>
      </c>
      <c r="P165" s="356">
        <f t="shared" si="96"/>
        <v>2550</v>
      </c>
      <c r="Q165" s="184">
        <f t="shared" si="96"/>
        <v>2550</v>
      </c>
      <c r="R165" s="184">
        <f t="shared" si="96"/>
        <v>2550</v>
      </c>
      <c r="S165" s="184">
        <f t="shared" si="96"/>
        <v>2550</v>
      </c>
      <c r="T165" s="184">
        <f t="shared" si="96"/>
        <v>2550</v>
      </c>
      <c r="U165" s="356">
        <f t="shared" si="96"/>
        <v>2550</v>
      </c>
      <c r="V165" s="184">
        <f t="shared" si="96"/>
        <v>2550</v>
      </c>
      <c r="W165" s="184">
        <f t="shared" si="96"/>
        <v>2550</v>
      </c>
      <c r="X165" s="184">
        <f t="shared" si="96"/>
        <v>2550</v>
      </c>
      <c r="Y165" s="184">
        <f t="shared" si="96"/>
        <v>2550</v>
      </c>
      <c r="Z165" s="356">
        <f t="shared" si="96"/>
        <v>2550</v>
      </c>
      <c r="AA165" s="184">
        <f t="shared" si="96"/>
        <v>2550</v>
      </c>
      <c r="AB165" s="184">
        <f t="shared" si="96"/>
        <v>2550</v>
      </c>
      <c r="AC165" s="184">
        <f t="shared" si="96"/>
        <v>2550</v>
      </c>
      <c r="AD165" s="184">
        <f t="shared" si="96"/>
        <v>2550</v>
      </c>
      <c r="AE165" s="356">
        <f t="shared" si="96"/>
        <v>2550</v>
      </c>
      <c r="AF165" s="73"/>
    </row>
    <row r="166" spans="1:32" s="83" customFormat="1" ht="12.75" customHeight="1">
      <c r="B166" s="834" t="str">
        <f t="shared" si="89"/>
        <v>Horns Rev 4 (evt. kombi med HR1-repower)</v>
      </c>
      <c r="C166" s="215"/>
      <c r="D166" s="184">
        <f t="shared" ref="D166:AE166" si="97">D67*D152/1000</f>
        <v>0</v>
      </c>
      <c r="E166" s="184">
        <f t="shared" si="97"/>
        <v>0</v>
      </c>
      <c r="F166" s="184">
        <f t="shared" si="97"/>
        <v>0</v>
      </c>
      <c r="G166" s="184">
        <f t="shared" si="97"/>
        <v>0</v>
      </c>
      <c r="H166" s="184">
        <f t="shared" si="97"/>
        <v>0</v>
      </c>
      <c r="I166" s="184">
        <f t="shared" si="97"/>
        <v>0</v>
      </c>
      <c r="J166" s="184">
        <f t="shared" si="97"/>
        <v>0</v>
      </c>
      <c r="K166" s="356">
        <f t="shared" si="97"/>
        <v>0</v>
      </c>
      <c r="L166" s="184">
        <f t="shared" si="97"/>
        <v>0</v>
      </c>
      <c r="M166" s="184">
        <f t="shared" si="97"/>
        <v>0</v>
      </c>
      <c r="N166" s="184">
        <f t="shared" si="97"/>
        <v>0</v>
      </c>
      <c r="O166" s="184">
        <f t="shared" si="97"/>
        <v>0</v>
      </c>
      <c r="P166" s="356">
        <f t="shared" si="97"/>
        <v>0</v>
      </c>
      <c r="Q166" s="184">
        <f t="shared" si="97"/>
        <v>0</v>
      </c>
      <c r="R166" s="184">
        <f t="shared" si="97"/>
        <v>920</v>
      </c>
      <c r="S166" s="184">
        <f t="shared" si="97"/>
        <v>1840</v>
      </c>
      <c r="T166" s="184">
        <f t="shared" si="97"/>
        <v>1840</v>
      </c>
      <c r="U166" s="356">
        <f t="shared" si="97"/>
        <v>1840</v>
      </c>
      <c r="V166" s="184">
        <f t="shared" si="97"/>
        <v>1840</v>
      </c>
      <c r="W166" s="184">
        <f t="shared" si="97"/>
        <v>1840</v>
      </c>
      <c r="X166" s="184">
        <f t="shared" si="97"/>
        <v>1840</v>
      </c>
      <c r="Y166" s="184">
        <f t="shared" si="97"/>
        <v>1840</v>
      </c>
      <c r="Z166" s="356">
        <f t="shared" si="97"/>
        <v>1840</v>
      </c>
      <c r="AA166" s="184">
        <f t="shared" si="97"/>
        <v>1840</v>
      </c>
      <c r="AB166" s="184">
        <f t="shared" si="97"/>
        <v>1840</v>
      </c>
      <c r="AC166" s="184">
        <f t="shared" si="97"/>
        <v>1840</v>
      </c>
      <c r="AD166" s="184">
        <f t="shared" si="97"/>
        <v>1840</v>
      </c>
      <c r="AE166" s="356">
        <f t="shared" si="97"/>
        <v>1840</v>
      </c>
      <c r="AF166" s="73"/>
    </row>
    <row r="167" spans="1:32" s="83" customFormat="1" ht="12.75" customHeight="1">
      <c r="B167" s="834" t="str">
        <f t="shared" si="89"/>
        <v>Jammerbugt el. Ringkøbing</v>
      </c>
      <c r="C167" s="215"/>
      <c r="D167" s="184">
        <f t="shared" ref="D167:AE167" si="98">D68*D153/1000</f>
        <v>0</v>
      </c>
      <c r="E167" s="184">
        <f t="shared" si="98"/>
        <v>0</v>
      </c>
      <c r="F167" s="184">
        <f t="shared" si="98"/>
        <v>0</v>
      </c>
      <c r="G167" s="184">
        <f t="shared" si="98"/>
        <v>0</v>
      </c>
      <c r="H167" s="184">
        <f t="shared" si="98"/>
        <v>0</v>
      </c>
      <c r="I167" s="184">
        <f t="shared" si="98"/>
        <v>0</v>
      </c>
      <c r="J167" s="184">
        <f t="shared" si="98"/>
        <v>0</v>
      </c>
      <c r="K167" s="356">
        <f t="shared" si="98"/>
        <v>0</v>
      </c>
      <c r="L167" s="184">
        <f t="shared" si="98"/>
        <v>0</v>
      </c>
      <c r="M167" s="184">
        <f t="shared" si="98"/>
        <v>0</v>
      </c>
      <c r="N167" s="184">
        <f t="shared" si="98"/>
        <v>0</v>
      </c>
      <c r="O167" s="184">
        <f t="shared" si="98"/>
        <v>0</v>
      </c>
      <c r="P167" s="356">
        <f t="shared" si="98"/>
        <v>0</v>
      </c>
      <c r="Q167" s="184">
        <f t="shared" si="98"/>
        <v>0</v>
      </c>
      <c r="R167" s="184">
        <f t="shared" si="98"/>
        <v>0</v>
      </c>
      <c r="S167" s="184">
        <f t="shared" si="98"/>
        <v>0</v>
      </c>
      <c r="T167" s="184">
        <f t="shared" si="98"/>
        <v>0</v>
      </c>
      <c r="U167" s="835">
        <f t="shared" si="98"/>
        <v>920</v>
      </c>
      <c r="V167" s="184">
        <f t="shared" si="98"/>
        <v>1840</v>
      </c>
      <c r="W167" s="184">
        <f t="shared" si="98"/>
        <v>1840</v>
      </c>
      <c r="X167" s="184">
        <f t="shared" si="98"/>
        <v>1840</v>
      </c>
      <c r="Y167" s="184">
        <f t="shared" si="98"/>
        <v>1840</v>
      </c>
      <c r="Z167" s="356">
        <f t="shared" si="98"/>
        <v>1840</v>
      </c>
      <c r="AA167" s="184">
        <f t="shared" si="98"/>
        <v>1840</v>
      </c>
      <c r="AB167" s="184">
        <f t="shared" si="98"/>
        <v>1840</v>
      </c>
      <c r="AC167" s="184">
        <f t="shared" si="98"/>
        <v>1840</v>
      </c>
      <c r="AD167" s="184">
        <f t="shared" si="98"/>
        <v>1840</v>
      </c>
      <c r="AE167" s="356">
        <f t="shared" si="98"/>
        <v>1840</v>
      </c>
      <c r="AF167" s="73"/>
    </row>
    <row r="168" spans="1:32" s="83" customFormat="1" ht="12.75" customHeight="1">
      <c r="B168" s="834" t="str">
        <f t="shared" si="89"/>
        <v>Horns Rev 5 (evt. kombi med HR2-repower)</v>
      </c>
      <c r="C168" s="215"/>
      <c r="D168" s="184">
        <f t="shared" ref="D168:AE168" si="99">D69*D154/1000</f>
        <v>0</v>
      </c>
      <c r="E168" s="184">
        <f t="shared" si="99"/>
        <v>0</v>
      </c>
      <c r="F168" s="184">
        <f t="shared" si="99"/>
        <v>0</v>
      </c>
      <c r="G168" s="184">
        <f t="shared" si="99"/>
        <v>0</v>
      </c>
      <c r="H168" s="184">
        <f t="shared" si="99"/>
        <v>0</v>
      </c>
      <c r="I168" s="184">
        <f t="shared" si="99"/>
        <v>0</v>
      </c>
      <c r="J168" s="184">
        <f t="shared" si="99"/>
        <v>0</v>
      </c>
      <c r="K168" s="356">
        <f t="shared" si="99"/>
        <v>0</v>
      </c>
      <c r="L168" s="184">
        <f t="shared" si="99"/>
        <v>0</v>
      </c>
      <c r="M168" s="184">
        <f t="shared" si="99"/>
        <v>0</v>
      </c>
      <c r="N168" s="184">
        <f t="shared" si="99"/>
        <v>0</v>
      </c>
      <c r="O168" s="184">
        <f t="shared" si="99"/>
        <v>0</v>
      </c>
      <c r="P168" s="356">
        <f t="shared" si="99"/>
        <v>0</v>
      </c>
      <c r="Q168" s="184">
        <f t="shared" si="99"/>
        <v>0</v>
      </c>
      <c r="R168" s="184">
        <f t="shared" si="99"/>
        <v>0</v>
      </c>
      <c r="S168" s="184">
        <f t="shared" si="99"/>
        <v>0</v>
      </c>
      <c r="T168" s="184">
        <f t="shared" si="99"/>
        <v>0</v>
      </c>
      <c r="U168" s="356">
        <f t="shared" si="99"/>
        <v>0</v>
      </c>
      <c r="V168" s="184">
        <f t="shared" si="99"/>
        <v>0</v>
      </c>
      <c r="W168" s="184">
        <f t="shared" si="99"/>
        <v>0</v>
      </c>
      <c r="X168" s="399">
        <f t="shared" si="99"/>
        <v>940</v>
      </c>
      <c r="Y168" s="184">
        <f t="shared" si="99"/>
        <v>1880</v>
      </c>
      <c r="Z168" s="356">
        <f t="shared" si="99"/>
        <v>1880</v>
      </c>
      <c r="AA168" s="184">
        <f t="shared" si="99"/>
        <v>1880</v>
      </c>
      <c r="AB168" s="184">
        <f t="shared" si="99"/>
        <v>1880</v>
      </c>
      <c r="AC168" s="184">
        <f t="shared" si="99"/>
        <v>1880</v>
      </c>
      <c r="AD168" s="184">
        <f t="shared" si="99"/>
        <v>1880</v>
      </c>
      <c r="AE168" s="356">
        <f t="shared" si="99"/>
        <v>1880</v>
      </c>
      <c r="AF168" s="73"/>
    </row>
    <row r="169" spans="1:32" s="83" customFormat="1" ht="12.75" customHeight="1">
      <c r="A169" s="103"/>
      <c r="B169" s="834" t="str">
        <f t="shared" si="89"/>
        <v>Rødsand 1 + 2 repower</v>
      </c>
      <c r="C169" s="215"/>
      <c r="D169" s="184">
        <f t="shared" ref="D169:AE169" si="100">D70*D155/1000</f>
        <v>0</v>
      </c>
      <c r="E169" s="184">
        <f t="shared" si="100"/>
        <v>0</v>
      </c>
      <c r="F169" s="184">
        <f t="shared" si="100"/>
        <v>0</v>
      </c>
      <c r="G169" s="184">
        <f t="shared" si="100"/>
        <v>0</v>
      </c>
      <c r="H169" s="184">
        <f t="shared" si="100"/>
        <v>0</v>
      </c>
      <c r="I169" s="184">
        <f t="shared" si="100"/>
        <v>0</v>
      </c>
      <c r="J169" s="184">
        <f t="shared" si="100"/>
        <v>0</v>
      </c>
      <c r="K169" s="356">
        <f t="shared" si="100"/>
        <v>0</v>
      </c>
      <c r="L169" s="184">
        <f t="shared" si="100"/>
        <v>0</v>
      </c>
      <c r="M169" s="184">
        <f t="shared" si="100"/>
        <v>0</v>
      </c>
      <c r="N169" s="184">
        <f t="shared" si="100"/>
        <v>0</v>
      </c>
      <c r="O169" s="184">
        <f t="shared" si="100"/>
        <v>0</v>
      </c>
      <c r="P169" s="356">
        <f t="shared" si="100"/>
        <v>0</v>
      </c>
      <c r="Q169" s="184">
        <f t="shared" si="100"/>
        <v>0</v>
      </c>
      <c r="R169" s="184">
        <f t="shared" si="100"/>
        <v>0</v>
      </c>
      <c r="S169" s="184">
        <f t="shared" si="100"/>
        <v>0</v>
      </c>
      <c r="T169" s="184">
        <f t="shared" si="100"/>
        <v>0</v>
      </c>
      <c r="U169" s="356">
        <f t="shared" si="100"/>
        <v>0</v>
      </c>
      <c r="V169" s="184">
        <f t="shared" si="100"/>
        <v>0</v>
      </c>
      <c r="W169" s="184">
        <f t="shared" si="100"/>
        <v>0</v>
      </c>
      <c r="X169" s="184">
        <f t="shared" si="100"/>
        <v>0</v>
      </c>
      <c r="Y169" s="184">
        <f t="shared" si="100"/>
        <v>0</v>
      </c>
      <c r="Z169" s="356">
        <f t="shared" si="100"/>
        <v>0</v>
      </c>
      <c r="AA169" s="399">
        <f t="shared" si="100"/>
        <v>860</v>
      </c>
      <c r="AB169" s="184">
        <f t="shared" si="100"/>
        <v>1720</v>
      </c>
      <c r="AC169" s="184">
        <f t="shared" si="100"/>
        <v>1720</v>
      </c>
      <c r="AD169" s="184">
        <f t="shared" si="100"/>
        <v>1720</v>
      </c>
      <c r="AE169" s="356">
        <f t="shared" si="100"/>
        <v>1720</v>
      </c>
      <c r="AF169" s="73"/>
    </row>
    <row r="170" spans="1:32" s="83" customFormat="1" ht="12.75" customHeight="1" thickBot="1">
      <c r="B170" s="834" t="str">
        <f t="shared" si="89"/>
        <v>Jammerbugt el. Ringkøbing</v>
      </c>
      <c r="C170" s="215"/>
      <c r="D170" s="184">
        <f t="shared" ref="D170:AE170" si="101">D71*D156/1000</f>
        <v>0</v>
      </c>
      <c r="E170" s="184">
        <f t="shared" si="101"/>
        <v>0</v>
      </c>
      <c r="F170" s="184">
        <f t="shared" si="101"/>
        <v>0</v>
      </c>
      <c r="G170" s="184">
        <f t="shared" si="101"/>
        <v>0</v>
      </c>
      <c r="H170" s="184">
        <f t="shared" si="101"/>
        <v>0</v>
      </c>
      <c r="I170" s="184">
        <f t="shared" si="101"/>
        <v>0</v>
      </c>
      <c r="J170" s="184">
        <f t="shared" si="101"/>
        <v>0</v>
      </c>
      <c r="K170" s="356">
        <f t="shared" si="101"/>
        <v>0</v>
      </c>
      <c r="L170" s="184">
        <f t="shared" si="101"/>
        <v>0</v>
      </c>
      <c r="M170" s="184">
        <f t="shared" si="101"/>
        <v>0</v>
      </c>
      <c r="N170" s="184">
        <f t="shared" si="101"/>
        <v>0</v>
      </c>
      <c r="O170" s="184">
        <f t="shared" si="101"/>
        <v>0</v>
      </c>
      <c r="P170" s="356">
        <f t="shared" si="101"/>
        <v>0</v>
      </c>
      <c r="Q170" s="184">
        <f t="shared" si="101"/>
        <v>0</v>
      </c>
      <c r="R170" s="184">
        <f t="shared" si="101"/>
        <v>0</v>
      </c>
      <c r="S170" s="184">
        <f t="shared" si="101"/>
        <v>0</v>
      </c>
      <c r="T170" s="184">
        <f t="shared" si="101"/>
        <v>0</v>
      </c>
      <c r="U170" s="356">
        <f t="shared" si="101"/>
        <v>0</v>
      </c>
      <c r="V170" s="184">
        <f t="shared" si="101"/>
        <v>0</v>
      </c>
      <c r="W170" s="184">
        <f t="shared" si="101"/>
        <v>0</v>
      </c>
      <c r="X170" s="184">
        <f t="shared" si="101"/>
        <v>0</v>
      </c>
      <c r="Y170" s="184">
        <f t="shared" si="101"/>
        <v>0</v>
      </c>
      <c r="Z170" s="356">
        <f t="shared" si="101"/>
        <v>0</v>
      </c>
      <c r="AA170" s="184">
        <f t="shared" si="101"/>
        <v>0</v>
      </c>
      <c r="AB170" s="184">
        <f t="shared" si="101"/>
        <v>0</v>
      </c>
      <c r="AC170" s="184">
        <f t="shared" si="101"/>
        <v>0</v>
      </c>
      <c r="AD170" s="399">
        <f t="shared" si="101"/>
        <v>940</v>
      </c>
      <c r="AE170" s="356">
        <f t="shared" si="101"/>
        <v>1880</v>
      </c>
      <c r="AF170" s="73"/>
    </row>
    <row r="171" spans="1:32" s="37" customFormat="1" ht="12.75" customHeight="1" thickBot="1">
      <c r="B171" s="97" t="s">
        <v>76</v>
      </c>
      <c r="C171" s="395"/>
      <c r="D171" s="198">
        <f t="shared" ref="D171:AA171" si="102">+SUM(D159:D170)</f>
        <v>3163.82</v>
      </c>
      <c r="E171" s="199">
        <f t="shared" si="102"/>
        <v>4717.76</v>
      </c>
      <c r="F171" s="199">
        <f t="shared" si="102"/>
        <v>4717.76</v>
      </c>
      <c r="G171" s="199">
        <f t="shared" si="102"/>
        <v>4717.76</v>
      </c>
      <c r="H171" s="199">
        <f t="shared" si="102"/>
        <v>4717.76</v>
      </c>
      <c r="I171" s="199">
        <f t="shared" si="102"/>
        <v>4717.76</v>
      </c>
      <c r="J171" s="200">
        <f t="shared" si="102"/>
        <v>6547.91</v>
      </c>
      <c r="K171" s="372">
        <f t="shared" si="102"/>
        <v>7397.91</v>
      </c>
      <c r="L171" s="373">
        <f t="shared" si="102"/>
        <v>8247.91</v>
      </c>
      <c r="M171" s="199">
        <f t="shared" si="102"/>
        <v>9097.91</v>
      </c>
      <c r="N171" s="199">
        <f t="shared" si="102"/>
        <v>9097.91</v>
      </c>
      <c r="O171" s="200">
        <f t="shared" si="102"/>
        <v>9097.91</v>
      </c>
      <c r="P171" s="372">
        <f t="shared" si="102"/>
        <v>9097.91</v>
      </c>
      <c r="Q171" s="373">
        <f t="shared" si="102"/>
        <v>9097.91</v>
      </c>
      <c r="R171" s="199">
        <f t="shared" si="102"/>
        <v>10017.91</v>
      </c>
      <c r="S171" s="199">
        <f t="shared" si="102"/>
        <v>10297.91</v>
      </c>
      <c r="T171" s="200">
        <f t="shared" si="102"/>
        <v>9726.59</v>
      </c>
      <c r="U171" s="372">
        <f t="shared" si="102"/>
        <v>10646.59</v>
      </c>
      <c r="V171" s="373">
        <f t="shared" si="102"/>
        <v>11566.59</v>
      </c>
      <c r="W171" s="199">
        <f t="shared" si="102"/>
        <v>11566.59</v>
      </c>
      <c r="X171" s="199">
        <f t="shared" si="102"/>
        <v>12506.59</v>
      </c>
      <c r="Y171" s="200">
        <f t="shared" si="102"/>
        <v>13446.59</v>
      </c>
      <c r="Z171" s="372">
        <f t="shared" si="102"/>
        <v>12525.67</v>
      </c>
      <c r="AA171" s="373">
        <f t="shared" si="102"/>
        <v>12578.369999999999</v>
      </c>
      <c r="AB171" s="199">
        <f t="shared" ref="AB171:AE171" si="103">+SUM(AB159:AB170)</f>
        <v>13438.369999999999</v>
      </c>
      <c r="AC171" s="199">
        <f t="shared" si="103"/>
        <v>13438.369999999999</v>
      </c>
      <c r="AD171" s="200">
        <f t="shared" si="103"/>
        <v>12600.15</v>
      </c>
      <c r="AE171" s="372">
        <f t="shared" si="103"/>
        <v>13540.15</v>
      </c>
      <c r="AF171" s="113"/>
    </row>
    <row r="172" spans="1:32" s="113" customFormat="1" ht="12.75" customHeight="1">
      <c r="B172" s="114"/>
      <c r="C172" s="400"/>
      <c r="D172" s="216"/>
      <c r="E172" s="216"/>
      <c r="F172" s="216"/>
      <c r="G172" s="216"/>
      <c r="H172" s="216"/>
      <c r="I172" s="216"/>
      <c r="J172" s="216"/>
      <c r="K172" s="216"/>
      <c r="L172" s="216"/>
      <c r="M172" s="216"/>
      <c r="N172" s="216"/>
      <c r="O172" s="216"/>
      <c r="P172" s="216"/>
      <c r="Q172" s="216"/>
      <c r="R172" s="216"/>
      <c r="S172" s="216"/>
      <c r="T172" s="216"/>
      <c r="U172" s="216"/>
      <c r="V172" s="216"/>
      <c r="W172" s="216"/>
      <c r="X172" s="216"/>
      <c r="Y172" s="216"/>
      <c r="Z172" s="216"/>
      <c r="AA172" s="216"/>
      <c r="AB172" s="204"/>
      <c r="AC172" s="204"/>
      <c r="AD172" s="204"/>
      <c r="AE172" s="217"/>
    </row>
    <row r="173" spans="1:32" s="113" customFormat="1" ht="12.75" customHeight="1">
      <c r="B173" s="36"/>
      <c r="C173" s="204"/>
      <c r="D173" s="204"/>
      <c r="E173" s="204"/>
      <c r="F173" s="204"/>
      <c r="G173" s="204"/>
      <c r="H173" s="204"/>
      <c r="I173" s="204"/>
      <c r="J173" s="204"/>
      <c r="K173" s="204"/>
      <c r="L173" s="204"/>
      <c r="M173" s="204"/>
      <c r="N173" s="204"/>
      <c r="O173" s="204"/>
      <c r="P173" s="204"/>
      <c r="Q173" s="204"/>
      <c r="R173" s="204"/>
      <c r="S173" s="204"/>
      <c r="T173" s="204"/>
      <c r="U173" s="204"/>
      <c r="V173" s="204"/>
      <c r="W173" s="204"/>
      <c r="X173" s="204"/>
      <c r="Y173" s="204"/>
      <c r="Z173" s="204"/>
      <c r="AA173" s="204"/>
      <c r="AB173" s="204"/>
      <c r="AC173" s="204"/>
      <c r="AD173" s="204"/>
      <c r="AE173" s="217"/>
    </row>
    <row r="174" spans="1:32" s="113" customFormat="1" ht="18.75" customHeight="1">
      <c r="B174" s="121" t="s">
        <v>298</v>
      </c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218"/>
      <c r="U174" s="218"/>
      <c r="V174" s="218"/>
      <c r="W174" s="218"/>
      <c r="X174" s="218"/>
      <c r="Y174" s="218"/>
      <c r="Z174" s="218"/>
      <c r="AA174" s="218"/>
      <c r="AB174" s="204"/>
      <c r="AC174" s="204"/>
      <c r="AD174" s="204"/>
      <c r="AE174" s="217"/>
    </row>
    <row r="175" spans="1:32" s="113" customFormat="1" ht="15">
      <c r="B175" s="104"/>
      <c r="C175" s="170">
        <v>2012</v>
      </c>
      <c r="D175" s="170">
        <f>C175+1</f>
        <v>2013</v>
      </c>
      <c r="E175" s="170">
        <f t="shared" ref="E175:Z175" si="104">D175+1</f>
        <v>2014</v>
      </c>
      <c r="F175" s="170">
        <f t="shared" si="104"/>
        <v>2015</v>
      </c>
      <c r="G175" s="170">
        <f t="shared" si="104"/>
        <v>2016</v>
      </c>
      <c r="H175" s="170">
        <f t="shared" si="104"/>
        <v>2017</v>
      </c>
      <c r="I175" s="170">
        <f t="shared" si="104"/>
        <v>2018</v>
      </c>
      <c r="J175" s="238">
        <f t="shared" si="104"/>
        <v>2019</v>
      </c>
      <c r="K175" s="383">
        <f t="shared" si="104"/>
        <v>2020</v>
      </c>
      <c r="L175" s="384">
        <f t="shared" si="104"/>
        <v>2021</v>
      </c>
      <c r="M175" s="170">
        <f t="shared" si="104"/>
        <v>2022</v>
      </c>
      <c r="N175" s="170">
        <f t="shared" si="104"/>
        <v>2023</v>
      </c>
      <c r="O175" s="238">
        <f t="shared" si="104"/>
        <v>2024</v>
      </c>
      <c r="P175" s="401">
        <f t="shared" si="104"/>
        <v>2025</v>
      </c>
      <c r="Q175" s="384">
        <f t="shared" si="104"/>
        <v>2026</v>
      </c>
      <c r="R175" s="170">
        <f t="shared" si="104"/>
        <v>2027</v>
      </c>
      <c r="S175" s="170">
        <f t="shared" si="104"/>
        <v>2028</v>
      </c>
      <c r="T175" s="238">
        <f t="shared" si="104"/>
        <v>2029</v>
      </c>
      <c r="U175" s="383">
        <f t="shared" si="104"/>
        <v>2030</v>
      </c>
      <c r="V175" s="384">
        <f t="shared" si="104"/>
        <v>2031</v>
      </c>
      <c r="W175" s="170">
        <f t="shared" si="104"/>
        <v>2032</v>
      </c>
      <c r="X175" s="170">
        <f t="shared" si="104"/>
        <v>2033</v>
      </c>
      <c r="Y175" s="238">
        <f t="shared" si="104"/>
        <v>2034</v>
      </c>
      <c r="Z175" s="383">
        <f t="shared" si="104"/>
        <v>2035</v>
      </c>
      <c r="AA175" s="384">
        <v>2036</v>
      </c>
      <c r="AB175" s="170">
        <v>2037</v>
      </c>
      <c r="AC175" s="170">
        <v>2038</v>
      </c>
      <c r="AD175" s="238">
        <v>2039</v>
      </c>
      <c r="AE175" s="383">
        <v>2040</v>
      </c>
    </row>
    <row r="176" spans="1:32" s="113" customFormat="1">
      <c r="B176" s="115" t="s">
        <v>194</v>
      </c>
      <c r="C176" s="206"/>
      <c r="D176" s="206"/>
      <c r="E176" s="206"/>
      <c r="F176" s="206"/>
      <c r="G176" s="206"/>
      <c r="H176" s="206"/>
      <c r="I176" s="206"/>
      <c r="J176" s="207"/>
      <c r="K176" s="380"/>
      <c r="L176" s="381"/>
      <c r="M176" s="206"/>
      <c r="N176" s="206"/>
      <c r="O176" s="207"/>
      <c r="P176" s="380"/>
      <c r="Q176" s="381"/>
      <c r="R176" s="206"/>
      <c r="S176" s="206"/>
      <c r="T176" s="207"/>
      <c r="U176" s="380"/>
      <c r="V176" s="381"/>
      <c r="W176" s="206"/>
      <c r="X176" s="206"/>
      <c r="Y176" s="207"/>
      <c r="Z176" s="380"/>
      <c r="AA176" s="381"/>
      <c r="AB176" s="206"/>
      <c r="AC176" s="206"/>
      <c r="AD176" s="207"/>
      <c r="AE176" s="380"/>
    </row>
    <row r="177" spans="2:32" s="37" customFormat="1">
      <c r="B177" s="49" t="s">
        <v>195</v>
      </c>
      <c r="C177" s="206"/>
      <c r="D177" s="181">
        <f>D35</f>
        <v>3240.8999999999996</v>
      </c>
      <c r="E177" s="181">
        <f>E35</f>
        <v>3547.92</v>
      </c>
      <c r="F177" s="181">
        <f t="shared" ref="F177:AE177" si="105">F35</f>
        <v>3614.77</v>
      </c>
      <c r="G177" s="181">
        <f t="shared" si="105"/>
        <v>3809.1300000000006</v>
      </c>
      <c r="H177" s="181">
        <f t="shared" si="105"/>
        <v>3951.4791000000005</v>
      </c>
      <c r="I177" s="181">
        <f t="shared" si="105"/>
        <v>4095.8402000000006</v>
      </c>
      <c r="J177" s="193">
        <f t="shared" si="105"/>
        <v>4220.8401999999996</v>
      </c>
      <c r="K177" s="369">
        <f t="shared" si="105"/>
        <v>4345.8402000000006</v>
      </c>
      <c r="L177" s="350">
        <f t="shared" si="105"/>
        <v>4470.8402000000006</v>
      </c>
      <c r="M177" s="181">
        <f t="shared" si="105"/>
        <v>4595.8401999999996</v>
      </c>
      <c r="N177" s="181">
        <f t="shared" si="105"/>
        <v>4720.8401999999996</v>
      </c>
      <c r="O177" s="193">
        <f t="shared" si="105"/>
        <v>4845.8401999999996</v>
      </c>
      <c r="P177" s="369">
        <f t="shared" si="105"/>
        <v>4970.8402000000006</v>
      </c>
      <c r="Q177" s="350">
        <f t="shared" si="105"/>
        <v>5095.8402000000006</v>
      </c>
      <c r="R177" s="181">
        <f t="shared" si="105"/>
        <v>5220.8402000000006</v>
      </c>
      <c r="S177" s="181">
        <f t="shared" si="105"/>
        <v>5345.8402000000006</v>
      </c>
      <c r="T177" s="193">
        <f t="shared" si="105"/>
        <v>5470.8401999999996</v>
      </c>
      <c r="U177" s="369">
        <f t="shared" si="105"/>
        <v>5595.8401999999996</v>
      </c>
      <c r="V177" s="350">
        <f t="shared" si="105"/>
        <v>5720.8401999999996</v>
      </c>
      <c r="W177" s="181">
        <f t="shared" si="105"/>
        <v>5845.8401999999996</v>
      </c>
      <c r="X177" s="181">
        <f t="shared" si="105"/>
        <v>5970.8401999999987</v>
      </c>
      <c r="Y177" s="193">
        <f t="shared" si="105"/>
        <v>6095.8401999999987</v>
      </c>
      <c r="Z177" s="369">
        <f t="shared" si="105"/>
        <v>6220.8401999999987</v>
      </c>
      <c r="AA177" s="350">
        <f t="shared" si="105"/>
        <v>6345.8401999999987</v>
      </c>
      <c r="AB177" s="181">
        <f t="shared" si="105"/>
        <v>6470.8401999999987</v>
      </c>
      <c r="AC177" s="181">
        <f t="shared" si="105"/>
        <v>6595.8401999999996</v>
      </c>
      <c r="AD177" s="193">
        <f t="shared" si="105"/>
        <v>6720.8401999999996</v>
      </c>
      <c r="AE177" s="369">
        <f t="shared" si="105"/>
        <v>6845.8401999999996</v>
      </c>
      <c r="AF177" s="113"/>
    </row>
    <row r="178" spans="2:32" s="37" customFormat="1">
      <c r="B178" s="49" t="s">
        <v>196</v>
      </c>
      <c r="C178" s="206"/>
      <c r="D178" s="181">
        <f>D56</f>
        <v>129.55000000000001</v>
      </c>
      <c r="E178" s="181">
        <f>E56</f>
        <v>129.55000000000001</v>
      </c>
      <c r="F178" s="181">
        <f t="shared" ref="F178:AE178" si="106">F56</f>
        <v>129.55000000000001</v>
      </c>
      <c r="G178" s="181">
        <f t="shared" si="106"/>
        <v>129.55000000000001</v>
      </c>
      <c r="H178" s="181">
        <f t="shared" si="106"/>
        <v>124.6</v>
      </c>
      <c r="I178" s="181">
        <f t="shared" si="106"/>
        <v>124.6</v>
      </c>
      <c r="J178" s="193">
        <f t="shared" si="106"/>
        <v>124.6</v>
      </c>
      <c r="K178" s="369">
        <f t="shared" si="106"/>
        <v>524.6</v>
      </c>
      <c r="L178" s="350">
        <f t="shared" si="106"/>
        <v>569.6</v>
      </c>
      <c r="M178" s="181">
        <f t="shared" si="106"/>
        <v>569.6</v>
      </c>
      <c r="N178" s="181">
        <f t="shared" si="106"/>
        <v>569.6</v>
      </c>
      <c r="O178" s="193">
        <f t="shared" si="106"/>
        <v>569.6</v>
      </c>
      <c r="P178" s="369">
        <f t="shared" si="106"/>
        <v>569.6</v>
      </c>
      <c r="Q178" s="350">
        <f t="shared" si="106"/>
        <v>529.6</v>
      </c>
      <c r="R178" s="181">
        <f t="shared" si="106"/>
        <v>529.6</v>
      </c>
      <c r="S178" s="181">
        <f t="shared" si="106"/>
        <v>529.6</v>
      </c>
      <c r="T178" s="193">
        <f t="shared" si="106"/>
        <v>481.8</v>
      </c>
      <c r="U178" s="369">
        <f t="shared" si="106"/>
        <v>481.8</v>
      </c>
      <c r="V178" s="350">
        <f t="shared" si="106"/>
        <v>481.8</v>
      </c>
      <c r="W178" s="181">
        <f t="shared" si="106"/>
        <v>481.8</v>
      </c>
      <c r="X178" s="181">
        <f t="shared" si="106"/>
        <v>481.8</v>
      </c>
      <c r="Y178" s="193">
        <f t="shared" si="106"/>
        <v>481.8</v>
      </c>
      <c r="Z178" s="369">
        <f t="shared" si="106"/>
        <v>453.6</v>
      </c>
      <c r="AA178" s="350">
        <f t="shared" si="106"/>
        <v>453.6</v>
      </c>
      <c r="AB178" s="181">
        <f t="shared" si="106"/>
        <v>450</v>
      </c>
      <c r="AC178" s="181">
        <f t="shared" si="106"/>
        <v>450</v>
      </c>
      <c r="AD178" s="193">
        <f t="shared" si="106"/>
        <v>450</v>
      </c>
      <c r="AE178" s="369">
        <f t="shared" si="106"/>
        <v>450</v>
      </c>
      <c r="AF178" s="113"/>
    </row>
    <row r="179" spans="2:32" s="37" customFormat="1" ht="13.5" thickBot="1">
      <c r="B179" s="49" t="s">
        <v>197</v>
      </c>
      <c r="C179" s="206"/>
      <c r="D179" s="181">
        <f>D72</f>
        <v>792.30000000000007</v>
      </c>
      <c r="E179" s="181">
        <f>E72</f>
        <v>1141.5</v>
      </c>
      <c r="F179" s="181">
        <f t="shared" ref="F179:AE179" si="107">F72</f>
        <v>1141.5</v>
      </c>
      <c r="G179" s="181">
        <f t="shared" si="107"/>
        <v>1141.5</v>
      </c>
      <c r="H179" s="181">
        <f t="shared" si="107"/>
        <v>1141.5</v>
      </c>
      <c r="I179" s="181">
        <f t="shared" si="107"/>
        <v>1141.5</v>
      </c>
      <c r="J179" s="193">
        <f t="shared" si="107"/>
        <v>1548.2</v>
      </c>
      <c r="K179" s="369">
        <f t="shared" si="107"/>
        <v>1748.2</v>
      </c>
      <c r="L179" s="350">
        <f t="shared" si="107"/>
        <v>1948.2</v>
      </c>
      <c r="M179" s="181">
        <f t="shared" si="107"/>
        <v>2148.1999999999998</v>
      </c>
      <c r="N179" s="181">
        <f t="shared" si="107"/>
        <v>2148.1999999999998</v>
      </c>
      <c r="O179" s="193">
        <f t="shared" si="107"/>
        <v>2148.1999999999998</v>
      </c>
      <c r="P179" s="369">
        <f t="shared" si="107"/>
        <v>2148.1999999999998</v>
      </c>
      <c r="Q179" s="350">
        <f t="shared" si="107"/>
        <v>2148.1999999999998</v>
      </c>
      <c r="R179" s="181">
        <f t="shared" si="107"/>
        <v>2348.1999999999998</v>
      </c>
      <c r="S179" s="181">
        <f t="shared" si="107"/>
        <v>2388.1999999999998</v>
      </c>
      <c r="T179" s="193">
        <f t="shared" si="107"/>
        <v>2222.6000000000004</v>
      </c>
      <c r="U179" s="369">
        <f t="shared" si="107"/>
        <v>2422.6000000000004</v>
      </c>
      <c r="V179" s="350">
        <f t="shared" si="107"/>
        <v>2622.6000000000004</v>
      </c>
      <c r="W179" s="181">
        <f t="shared" si="107"/>
        <v>2622.6000000000004</v>
      </c>
      <c r="X179" s="181">
        <f t="shared" si="107"/>
        <v>2822.6000000000004</v>
      </c>
      <c r="Y179" s="193">
        <f t="shared" si="107"/>
        <v>3022.6000000000004</v>
      </c>
      <c r="Z179" s="369">
        <f t="shared" si="107"/>
        <v>2813.3</v>
      </c>
      <c r="AA179" s="350">
        <f t="shared" si="107"/>
        <v>2806.3</v>
      </c>
      <c r="AB179" s="181">
        <f t="shared" si="107"/>
        <v>3006.3</v>
      </c>
      <c r="AC179" s="181">
        <f t="shared" si="107"/>
        <v>3006.3</v>
      </c>
      <c r="AD179" s="193">
        <f t="shared" si="107"/>
        <v>2806.7</v>
      </c>
      <c r="AE179" s="369">
        <f t="shared" si="107"/>
        <v>3006.7</v>
      </c>
      <c r="AF179" s="113"/>
    </row>
    <row r="180" spans="2:32" s="37" customFormat="1" ht="13.5" thickBot="1">
      <c r="B180" s="97" t="s">
        <v>198</v>
      </c>
      <c r="C180" s="198"/>
      <c r="D180" s="198">
        <f>SUM(D177:D179)</f>
        <v>4162.75</v>
      </c>
      <c r="E180" s="199">
        <f>SUM(E177:E179)</f>
        <v>4818.97</v>
      </c>
      <c r="F180" s="199">
        <f t="shared" ref="F180:AE180" si="108">SUM(F177:F179)</f>
        <v>4885.82</v>
      </c>
      <c r="G180" s="199">
        <f t="shared" si="108"/>
        <v>5080.18</v>
      </c>
      <c r="H180" s="199">
        <f t="shared" si="108"/>
        <v>5217.5791000000008</v>
      </c>
      <c r="I180" s="199">
        <f t="shared" si="108"/>
        <v>5361.9402000000009</v>
      </c>
      <c r="J180" s="200">
        <f t="shared" si="108"/>
        <v>5893.6401999999998</v>
      </c>
      <c r="K180" s="372">
        <f t="shared" si="108"/>
        <v>6618.6402000000007</v>
      </c>
      <c r="L180" s="373">
        <f t="shared" si="108"/>
        <v>6988.6402000000007</v>
      </c>
      <c r="M180" s="199">
        <f t="shared" si="108"/>
        <v>7313.6401999999998</v>
      </c>
      <c r="N180" s="199">
        <f t="shared" si="108"/>
        <v>7438.6401999999998</v>
      </c>
      <c r="O180" s="200">
        <f t="shared" si="108"/>
        <v>7563.6401999999998</v>
      </c>
      <c r="P180" s="372">
        <f t="shared" si="108"/>
        <v>7688.6402000000007</v>
      </c>
      <c r="Q180" s="373">
        <f t="shared" si="108"/>
        <v>7773.6402000000007</v>
      </c>
      <c r="R180" s="199">
        <f t="shared" si="108"/>
        <v>8098.6402000000007</v>
      </c>
      <c r="S180" s="199">
        <f t="shared" si="108"/>
        <v>8263.6402000000016</v>
      </c>
      <c r="T180" s="200">
        <f t="shared" si="108"/>
        <v>8175.2402000000002</v>
      </c>
      <c r="U180" s="372">
        <f t="shared" si="108"/>
        <v>8500.2402000000002</v>
      </c>
      <c r="V180" s="373">
        <f t="shared" si="108"/>
        <v>8825.2402000000002</v>
      </c>
      <c r="W180" s="199">
        <f t="shared" si="108"/>
        <v>8950.2402000000002</v>
      </c>
      <c r="X180" s="199">
        <f t="shared" si="108"/>
        <v>9275.2402000000002</v>
      </c>
      <c r="Y180" s="200">
        <f t="shared" si="108"/>
        <v>9600.2402000000002</v>
      </c>
      <c r="Z180" s="372">
        <f t="shared" si="108"/>
        <v>9487.7402000000002</v>
      </c>
      <c r="AA180" s="373">
        <f t="shared" si="108"/>
        <v>9605.7402000000002</v>
      </c>
      <c r="AB180" s="199">
        <f t="shared" si="108"/>
        <v>9927.140199999998</v>
      </c>
      <c r="AC180" s="199">
        <f t="shared" si="108"/>
        <v>10052.1402</v>
      </c>
      <c r="AD180" s="200">
        <f t="shared" si="108"/>
        <v>9977.5401999999995</v>
      </c>
      <c r="AE180" s="372">
        <f t="shared" si="108"/>
        <v>10302.540199999999</v>
      </c>
      <c r="AF180" s="113"/>
    </row>
    <row r="181" spans="2:32" s="37" customFormat="1">
      <c r="B181" s="38"/>
      <c r="C181" s="206"/>
      <c r="D181" s="206"/>
      <c r="E181" s="206"/>
      <c r="F181" s="206"/>
      <c r="G181" s="206"/>
      <c r="H181" s="206"/>
      <c r="I181" s="206"/>
      <c r="J181" s="207"/>
      <c r="K181" s="380"/>
      <c r="L181" s="381"/>
      <c r="M181" s="206"/>
      <c r="N181" s="206"/>
      <c r="O181" s="207"/>
      <c r="P181" s="380"/>
      <c r="Q181" s="381"/>
      <c r="R181" s="206"/>
      <c r="S181" s="206"/>
      <c r="T181" s="207"/>
      <c r="U181" s="380"/>
      <c r="V181" s="381"/>
      <c r="W181" s="206"/>
      <c r="X181" s="206"/>
      <c r="Y181" s="207"/>
      <c r="Z181" s="380"/>
      <c r="AA181" s="381"/>
      <c r="AB181" s="206"/>
      <c r="AC181" s="206"/>
      <c r="AD181" s="207"/>
      <c r="AE181" s="380"/>
      <c r="AF181" s="113"/>
    </row>
    <row r="182" spans="2:32" s="37" customFormat="1">
      <c r="B182" s="115" t="s">
        <v>199</v>
      </c>
      <c r="C182" s="206"/>
      <c r="D182" s="206"/>
      <c r="E182" s="206"/>
      <c r="F182" s="206"/>
      <c r="G182" s="206"/>
      <c r="H182" s="206"/>
      <c r="I182" s="206"/>
      <c r="J182" s="207"/>
      <c r="K182" s="380"/>
      <c r="L182" s="381"/>
      <c r="M182" s="206"/>
      <c r="N182" s="206"/>
      <c r="O182" s="207"/>
      <c r="P182" s="380"/>
      <c r="Q182" s="381"/>
      <c r="R182" s="206"/>
      <c r="S182" s="206"/>
      <c r="T182" s="207"/>
      <c r="U182" s="380"/>
      <c r="V182" s="381"/>
      <c r="W182" s="206"/>
      <c r="X182" s="206"/>
      <c r="Y182" s="207"/>
      <c r="Z182" s="380"/>
      <c r="AA182" s="381"/>
      <c r="AB182" s="206"/>
      <c r="AC182" s="206"/>
      <c r="AD182" s="207"/>
      <c r="AE182" s="380"/>
      <c r="AF182" s="113"/>
    </row>
    <row r="183" spans="2:32" s="37" customFormat="1">
      <c r="B183" s="49" t="s">
        <v>200</v>
      </c>
      <c r="C183" s="206"/>
      <c r="D183" s="181">
        <f>D189/D177*1000</f>
        <v>2149.0218766392054</v>
      </c>
      <c r="E183" s="181">
        <f t="shared" ref="E183:AE186" si="109">E189/E177*1000</f>
        <v>2225.3979796613226</v>
      </c>
      <c r="F183" s="181">
        <f t="shared" si="109"/>
        <v>2254.0175446847243</v>
      </c>
      <c r="G183" s="181">
        <f t="shared" si="109"/>
        <v>2310.0877365697675</v>
      </c>
      <c r="H183" s="181">
        <f t="shared" si="109"/>
        <v>2358.9663876327554</v>
      </c>
      <c r="I183" s="181">
        <f t="shared" si="109"/>
        <v>2405.6709186717453</v>
      </c>
      <c r="J183" s="193">
        <f t="shared" si="109"/>
        <v>2445.5141189661722</v>
      </c>
      <c r="K183" s="369">
        <f t="shared" si="109"/>
        <v>2483.0652883493813</v>
      </c>
      <c r="L183" s="350">
        <f t="shared" si="109"/>
        <v>2530.2476131784761</v>
      </c>
      <c r="M183" s="181">
        <f t="shared" si="109"/>
        <v>2574.8633602559612</v>
      </c>
      <c r="N183" s="181">
        <f t="shared" si="109"/>
        <v>2637.5908908273213</v>
      </c>
      <c r="O183" s="193">
        <f t="shared" si="109"/>
        <v>2697.0822679153616</v>
      </c>
      <c r="P183" s="369">
        <f t="shared" si="109"/>
        <v>2753.5816268186263</v>
      </c>
      <c r="Q183" s="350">
        <f t="shared" si="109"/>
        <v>2807.3091484641582</v>
      </c>
      <c r="R183" s="181">
        <f t="shared" si="109"/>
        <v>2868.4927013260808</v>
      </c>
      <c r="S183" s="181">
        <f t="shared" si="109"/>
        <v>2926.8149849313045</v>
      </c>
      <c r="T183" s="193">
        <f t="shared" si="109"/>
        <v>2982.4721256392272</v>
      </c>
      <c r="U183" s="369">
        <f t="shared" si="109"/>
        <v>3035.6427255097274</v>
      </c>
      <c r="V183" s="350">
        <f t="shared" si="109"/>
        <v>3086.4897768274081</v>
      </c>
      <c r="W183" s="181">
        <f t="shared" si="109"/>
        <v>3135.1623309993365</v>
      </c>
      <c r="X183" s="181">
        <f t="shared" si="109"/>
        <v>3181.7969578217826</v>
      </c>
      <c r="Y183" s="193">
        <f t="shared" si="109"/>
        <v>3193.3543824415437</v>
      </c>
      <c r="Z183" s="369">
        <f t="shared" si="109"/>
        <v>3204.4473430882645</v>
      </c>
      <c r="AA183" s="350">
        <f t="shared" si="109"/>
        <v>3215.1032867168642</v>
      </c>
      <c r="AB183" s="181">
        <f t="shared" si="109"/>
        <v>3225.3475394637835</v>
      </c>
      <c r="AC183" s="181">
        <f t="shared" si="109"/>
        <v>3235.2035076087295</v>
      </c>
      <c r="AD183" s="193">
        <f t="shared" si="109"/>
        <v>3244.692856110461</v>
      </c>
      <c r="AE183" s="369">
        <f t="shared" si="109"/>
        <v>3249.2957882656979</v>
      </c>
      <c r="AF183" s="113"/>
    </row>
    <row r="184" spans="2:32" s="37" customFormat="1">
      <c r="B184" s="49" t="s">
        <v>201</v>
      </c>
      <c r="C184" s="206"/>
      <c r="D184" s="181">
        <f>D190/D178*1000</f>
        <v>3014.8591277499031</v>
      </c>
      <c r="E184" s="181">
        <f t="shared" si="109"/>
        <v>3014.8591277499031</v>
      </c>
      <c r="F184" s="181">
        <f t="shared" si="109"/>
        <v>3014.8591277499031</v>
      </c>
      <c r="G184" s="181">
        <f t="shared" si="109"/>
        <v>3014.8591277499031</v>
      </c>
      <c r="H184" s="181">
        <f t="shared" si="109"/>
        <v>3067.0947030497596</v>
      </c>
      <c r="I184" s="181">
        <f t="shared" si="109"/>
        <v>3067.0947030497596</v>
      </c>
      <c r="J184" s="193">
        <f t="shared" si="109"/>
        <v>3067.0947030497596</v>
      </c>
      <c r="K184" s="369">
        <f t="shared" si="109"/>
        <v>3963.8009912314137</v>
      </c>
      <c r="L184" s="350">
        <f t="shared" si="109"/>
        <v>3988.1671348314603</v>
      </c>
      <c r="M184" s="181">
        <f t="shared" si="109"/>
        <v>3988.1671348314603</v>
      </c>
      <c r="N184" s="181">
        <f t="shared" si="109"/>
        <v>3988.1671348314603</v>
      </c>
      <c r="O184" s="193">
        <f t="shared" si="109"/>
        <v>3988.1671348314603</v>
      </c>
      <c r="P184" s="369">
        <f t="shared" si="109"/>
        <v>3988.1671348314603</v>
      </c>
      <c r="Q184" s="350">
        <f t="shared" si="109"/>
        <v>4115.6722054380652</v>
      </c>
      <c r="R184" s="181">
        <f t="shared" si="109"/>
        <v>4115.6722054380652</v>
      </c>
      <c r="S184" s="181">
        <f t="shared" si="109"/>
        <v>4115.6722054380652</v>
      </c>
      <c r="T184" s="193">
        <f t="shared" si="109"/>
        <v>4165.3798256537984</v>
      </c>
      <c r="U184" s="369">
        <f t="shared" si="109"/>
        <v>4165.3798256537984</v>
      </c>
      <c r="V184" s="350">
        <f t="shared" si="109"/>
        <v>4165.3798256537984</v>
      </c>
      <c r="W184" s="181">
        <f t="shared" si="109"/>
        <v>4165.3798256537984</v>
      </c>
      <c r="X184" s="181">
        <f t="shared" si="109"/>
        <v>4165.3798256537984</v>
      </c>
      <c r="Y184" s="193">
        <f t="shared" si="109"/>
        <v>4165.3798256537984</v>
      </c>
      <c r="Z184" s="369">
        <f t="shared" si="109"/>
        <v>4223.0158730158728</v>
      </c>
      <c r="AA184" s="350">
        <f t="shared" si="109"/>
        <v>4223.0158730158728</v>
      </c>
      <c r="AB184" s="181">
        <f t="shared" si="109"/>
        <v>4230</v>
      </c>
      <c r="AC184" s="181">
        <f t="shared" si="109"/>
        <v>4230</v>
      </c>
      <c r="AD184" s="193">
        <f t="shared" si="109"/>
        <v>4230</v>
      </c>
      <c r="AE184" s="369">
        <f t="shared" si="109"/>
        <v>4230</v>
      </c>
      <c r="AF184" s="113"/>
    </row>
    <row r="185" spans="2:32" s="37" customFormat="1" ht="13.5" thickBot="1">
      <c r="B185" s="49" t="s">
        <v>202</v>
      </c>
      <c r="C185" s="206"/>
      <c r="D185" s="181">
        <f>D191/D179*1000</f>
        <v>3993.2096428120662</v>
      </c>
      <c r="E185" s="181">
        <f t="shared" si="109"/>
        <v>4132.9478756022772</v>
      </c>
      <c r="F185" s="181">
        <f t="shared" si="109"/>
        <v>4132.9478756022772</v>
      </c>
      <c r="G185" s="181">
        <f t="shared" si="109"/>
        <v>4132.9478756022772</v>
      </c>
      <c r="H185" s="181">
        <f t="shared" si="109"/>
        <v>4132.9478756022772</v>
      </c>
      <c r="I185" s="181">
        <f t="shared" si="109"/>
        <v>4132.9478756022772</v>
      </c>
      <c r="J185" s="193">
        <f t="shared" si="109"/>
        <v>4229.3695904921842</v>
      </c>
      <c r="K185" s="369">
        <f t="shared" si="109"/>
        <v>4231.7297792014642</v>
      </c>
      <c r="L185" s="350">
        <f t="shared" si="109"/>
        <v>4233.6053793245037</v>
      </c>
      <c r="M185" s="181">
        <f t="shared" si="109"/>
        <v>4235.1317381994231</v>
      </c>
      <c r="N185" s="181">
        <f t="shared" si="109"/>
        <v>4235.1317381994231</v>
      </c>
      <c r="O185" s="193">
        <f t="shared" si="109"/>
        <v>4235.1317381994231</v>
      </c>
      <c r="P185" s="369">
        <f t="shared" si="109"/>
        <v>4235.1317381994231</v>
      </c>
      <c r="Q185" s="350">
        <f t="shared" si="109"/>
        <v>4235.1317381994231</v>
      </c>
      <c r="R185" s="181">
        <f t="shared" si="109"/>
        <v>4266.2081594412739</v>
      </c>
      <c r="S185" s="181">
        <f t="shared" si="109"/>
        <v>4311.9964827066415</v>
      </c>
      <c r="T185" s="193">
        <f t="shared" si="109"/>
        <v>4376.221542337802</v>
      </c>
      <c r="U185" s="369">
        <f t="shared" si="109"/>
        <v>4394.6957813918925</v>
      </c>
      <c r="V185" s="350">
        <f t="shared" si="109"/>
        <v>4410.3523221230835</v>
      </c>
      <c r="W185" s="181">
        <f t="shared" si="109"/>
        <v>4410.3523221230835</v>
      </c>
      <c r="X185" s="181">
        <f t="shared" si="109"/>
        <v>4430.8757882803084</v>
      </c>
      <c r="Y185" s="193">
        <f t="shared" si="109"/>
        <v>4448.6832528286905</v>
      </c>
      <c r="Z185" s="369">
        <f t="shared" si="109"/>
        <v>4452.3051220986035</v>
      </c>
      <c r="AA185" s="350">
        <f t="shared" si="109"/>
        <v>4482.1900723372401</v>
      </c>
      <c r="AB185" s="181">
        <f t="shared" si="109"/>
        <v>4470.0695206732526</v>
      </c>
      <c r="AC185" s="181">
        <f t="shared" si="109"/>
        <v>4470.0695206732526</v>
      </c>
      <c r="AD185" s="193">
        <f t="shared" si="109"/>
        <v>4489.3112908397761</v>
      </c>
      <c r="AE185" s="369">
        <f t="shared" si="109"/>
        <v>4503.3259054777664</v>
      </c>
      <c r="AF185" s="113"/>
    </row>
    <row r="186" spans="2:32" s="37" customFormat="1" ht="13.5" thickBot="1">
      <c r="B186" s="97" t="s">
        <v>203</v>
      </c>
      <c r="C186" s="198"/>
      <c r="D186" s="198">
        <f>D192/D180*1000</f>
        <v>2526.9737553300101</v>
      </c>
      <c r="E186" s="199">
        <f t="shared" si="109"/>
        <v>2698.474777805216</v>
      </c>
      <c r="F186" s="199">
        <f t="shared" si="109"/>
        <v>2713.1760891723397</v>
      </c>
      <c r="G186" s="199">
        <f t="shared" si="109"/>
        <v>2737.6509296914678</v>
      </c>
      <c r="H186" s="199">
        <f t="shared" si="109"/>
        <v>2763.9880684000227</v>
      </c>
      <c r="I186" s="199">
        <f t="shared" si="109"/>
        <v>2788.7598702922246</v>
      </c>
      <c r="J186" s="200">
        <f t="shared" si="109"/>
        <v>2927.2561129537562</v>
      </c>
      <c r="K186" s="372">
        <f t="shared" si="109"/>
        <v>3062.3095283731141</v>
      </c>
      <c r="L186" s="373">
        <f t="shared" si="109"/>
        <v>3123.9128242647803</v>
      </c>
      <c r="M186" s="199">
        <f t="shared" si="109"/>
        <v>3172.5966695177908</v>
      </c>
      <c r="N186" s="199">
        <f t="shared" si="109"/>
        <v>3202.3615160969107</v>
      </c>
      <c r="O186" s="200">
        <f t="shared" si="109"/>
        <v>3231.1425491354585</v>
      </c>
      <c r="P186" s="372">
        <f t="shared" si="109"/>
        <v>3258.9877524209583</v>
      </c>
      <c r="Q186" s="373">
        <f t="shared" si="109"/>
        <v>3291.0152971282905</v>
      </c>
      <c r="R186" s="199">
        <f t="shared" si="109"/>
        <v>3355.317848111069</v>
      </c>
      <c r="S186" s="199">
        <f t="shared" si="109"/>
        <v>3403.3252324330574</v>
      </c>
      <c r="T186" s="200">
        <f t="shared" si="109"/>
        <v>3431.1038836909688</v>
      </c>
      <c r="U186" s="372">
        <f t="shared" si="109"/>
        <v>3487.0122371653565</v>
      </c>
      <c r="V186" s="373">
        <f t="shared" si="109"/>
        <v>3538.80280699479</v>
      </c>
      <c r="W186" s="199">
        <f t="shared" si="109"/>
        <v>3564.2761842393493</v>
      </c>
      <c r="X186" s="199">
        <f t="shared" si="109"/>
        <v>3613.0030555974172</v>
      </c>
      <c r="Y186" s="200">
        <f t="shared" si="109"/>
        <v>3637.3723250521725</v>
      </c>
      <c r="Z186" s="372">
        <f t="shared" si="109"/>
        <v>3623.1583207418207</v>
      </c>
      <c r="AA186" s="373">
        <f t="shared" si="109"/>
        <v>3632.8758593741682</v>
      </c>
      <c r="AB186" s="199">
        <f t="shared" si="109"/>
        <v>3647.8359112258067</v>
      </c>
      <c r="AC186" s="199">
        <f t="shared" si="109"/>
        <v>3649.0493189367435</v>
      </c>
      <c r="AD186" s="200">
        <f t="shared" si="109"/>
        <v>3639.2448896372271</v>
      </c>
      <c r="AE186" s="372">
        <f t="shared" si="109"/>
        <v>3658.1084856140628</v>
      </c>
      <c r="AF186" s="113"/>
    </row>
    <row r="187" spans="2:32" s="37" customFormat="1">
      <c r="B187" s="38"/>
      <c r="C187" s="206"/>
      <c r="D187" s="206"/>
      <c r="E187" s="206"/>
      <c r="F187" s="206"/>
      <c r="G187" s="206"/>
      <c r="H187" s="206"/>
      <c r="I187" s="206"/>
      <c r="J187" s="207"/>
      <c r="K187" s="380"/>
      <c r="L187" s="381"/>
      <c r="M187" s="206"/>
      <c r="N187" s="206"/>
      <c r="O187" s="207"/>
      <c r="P187" s="380"/>
      <c r="Q187" s="381"/>
      <c r="R187" s="206"/>
      <c r="S187" s="206"/>
      <c r="T187" s="207"/>
      <c r="U187" s="380"/>
      <c r="V187" s="381"/>
      <c r="W187" s="206"/>
      <c r="X187" s="206"/>
      <c r="Y187" s="207"/>
      <c r="Z187" s="380"/>
      <c r="AA187" s="381"/>
      <c r="AB187" s="206"/>
      <c r="AC187" s="206"/>
      <c r="AD187" s="207"/>
      <c r="AE187" s="380"/>
      <c r="AF187" s="113"/>
    </row>
    <row r="188" spans="2:32" s="37" customFormat="1">
      <c r="B188" s="115" t="s">
        <v>204</v>
      </c>
      <c r="C188" s="206"/>
      <c r="D188" s="206"/>
      <c r="E188" s="206"/>
      <c r="F188" s="206"/>
      <c r="G188" s="206"/>
      <c r="H188" s="206"/>
      <c r="I188" s="206"/>
      <c r="J188" s="207"/>
      <c r="K188" s="380"/>
      <c r="L188" s="381"/>
      <c r="M188" s="206"/>
      <c r="N188" s="206"/>
      <c r="O188" s="207"/>
      <c r="P188" s="380"/>
      <c r="Q188" s="381"/>
      <c r="R188" s="206"/>
      <c r="S188" s="206"/>
      <c r="T188" s="207"/>
      <c r="U188" s="380"/>
      <c r="V188" s="381"/>
      <c r="W188" s="206"/>
      <c r="X188" s="206"/>
      <c r="Y188" s="207"/>
      <c r="Z188" s="380"/>
      <c r="AA188" s="381"/>
      <c r="AB188" s="206"/>
      <c r="AC188" s="206"/>
      <c r="AD188" s="207"/>
      <c r="AE188" s="380"/>
      <c r="AF188" s="113"/>
    </row>
    <row r="189" spans="2:32" s="116" customFormat="1">
      <c r="B189" s="49" t="s">
        <v>205</v>
      </c>
      <c r="C189" s="181"/>
      <c r="D189" s="181">
        <f>D101</f>
        <v>6964.7650000000003</v>
      </c>
      <c r="E189" s="181">
        <f t="shared" ref="E189:AE189" si="110">E101</f>
        <v>7895.5339999999997</v>
      </c>
      <c r="F189" s="181">
        <f t="shared" si="110"/>
        <v>8147.7550000000001</v>
      </c>
      <c r="G189" s="181">
        <f t="shared" si="110"/>
        <v>8799.424500000001</v>
      </c>
      <c r="H189" s="181">
        <f t="shared" si="110"/>
        <v>9321.4063783333331</v>
      </c>
      <c r="I189" s="181">
        <f t="shared" si="110"/>
        <v>9853.2436566666674</v>
      </c>
      <c r="J189" s="193">
        <f t="shared" si="110"/>
        <v>10322.124303000001</v>
      </c>
      <c r="K189" s="369">
        <f t="shared" si="110"/>
        <v>10791.004949333334</v>
      </c>
      <c r="L189" s="350">
        <f t="shared" si="110"/>
        <v>11312.332744952382</v>
      </c>
      <c r="M189" s="181">
        <f t="shared" si="110"/>
        <v>11833.660540571427</v>
      </c>
      <c r="N189" s="181">
        <f t="shared" si="110"/>
        <v>12451.645108571429</v>
      </c>
      <c r="O189" s="193">
        <f t="shared" si="110"/>
        <v>13069.629676571429</v>
      </c>
      <c r="P189" s="369">
        <f t="shared" si="110"/>
        <v>13687.614244571429</v>
      </c>
      <c r="Q189" s="350">
        <f t="shared" si="110"/>
        <v>14305.598812571428</v>
      </c>
      <c r="R189" s="181">
        <f t="shared" si="110"/>
        <v>14975.942008489796</v>
      </c>
      <c r="S189" s="181">
        <f t="shared" si="110"/>
        <v>15646.285204408163</v>
      </c>
      <c r="T189" s="193">
        <f t="shared" si="110"/>
        <v>16316.628400326532</v>
      </c>
      <c r="U189" s="369">
        <f t="shared" si="110"/>
        <v>16986.971596244897</v>
      </c>
      <c r="V189" s="350">
        <f t="shared" si="110"/>
        <v>17657.314792163263</v>
      </c>
      <c r="W189" s="181">
        <f t="shared" si="110"/>
        <v>18327.657988081628</v>
      </c>
      <c r="X189" s="181">
        <f t="shared" si="110"/>
        <v>18998.001184000001</v>
      </c>
      <c r="Y189" s="193">
        <f t="shared" si="110"/>
        <v>19466.178017333332</v>
      </c>
      <c r="Z189" s="369">
        <f t="shared" si="110"/>
        <v>19934.354850666663</v>
      </c>
      <c r="AA189" s="350">
        <f t="shared" si="110"/>
        <v>20402.531683999998</v>
      </c>
      <c r="AB189" s="181">
        <f t="shared" si="110"/>
        <v>20870.708517333333</v>
      </c>
      <c r="AC189" s="181">
        <f t="shared" si="110"/>
        <v>21338.885350666664</v>
      </c>
      <c r="AD189" s="193">
        <f t="shared" si="110"/>
        <v>21807.062183999999</v>
      </c>
      <c r="AE189" s="369">
        <f t="shared" si="110"/>
        <v>22244.159728999999</v>
      </c>
      <c r="AF189" s="136"/>
    </row>
    <row r="190" spans="2:32" s="116" customFormat="1">
      <c r="B190" s="49" t="s">
        <v>206</v>
      </c>
      <c r="C190" s="181"/>
      <c r="D190" s="181">
        <f>D141</f>
        <v>390.57499999999999</v>
      </c>
      <c r="E190" s="181">
        <f t="shared" ref="E190:AE190" si="111">E141</f>
        <v>390.57499999999999</v>
      </c>
      <c r="F190" s="181">
        <f t="shared" si="111"/>
        <v>390.57499999999999</v>
      </c>
      <c r="G190" s="181">
        <f t="shared" si="111"/>
        <v>390.57499999999999</v>
      </c>
      <c r="H190" s="181">
        <f t="shared" si="111"/>
        <v>382.16</v>
      </c>
      <c r="I190" s="181">
        <f t="shared" si="111"/>
        <v>382.16</v>
      </c>
      <c r="J190" s="193">
        <f t="shared" si="111"/>
        <v>382.16</v>
      </c>
      <c r="K190" s="369">
        <f t="shared" si="111"/>
        <v>2079.41</v>
      </c>
      <c r="L190" s="350">
        <f t="shared" si="111"/>
        <v>2271.66</v>
      </c>
      <c r="M190" s="181">
        <f t="shared" si="111"/>
        <v>2271.66</v>
      </c>
      <c r="N190" s="181">
        <f t="shared" si="111"/>
        <v>2271.66</v>
      </c>
      <c r="O190" s="193">
        <f t="shared" si="111"/>
        <v>2271.66</v>
      </c>
      <c r="P190" s="369">
        <f t="shared" si="111"/>
        <v>2271.66</v>
      </c>
      <c r="Q190" s="350">
        <f t="shared" si="111"/>
        <v>2179.66</v>
      </c>
      <c r="R190" s="181">
        <f t="shared" si="111"/>
        <v>2179.66</v>
      </c>
      <c r="S190" s="181">
        <f t="shared" si="111"/>
        <v>2179.66</v>
      </c>
      <c r="T190" s="193">
        <f t="shared" si="111"/>
        <v>2006.88</v>
      </c>
      <c r="U190" s="369">
        <f t="shared" si="111"/>
        <v>2006.88</v>
      </c>
      <c r="V190" s="350">
        <f t="shared" si="111"/>
        <v>2006.88</v>
      </c>
      <c r="W190" s="181">
        <f t="shared" si="111"/>
        <v>2006.88</v>
      </c>
      <c r="X190" s="181">
        <f t="shared" si="111"/>
        <v>2006.88</v>
      </c>
      <c r="Y190" s="193">
        <f t="shared" si="111"/>
        <v>2006.88</v>
      </c>
      <c r="Z190" s="369">
        <f t="shared" si="111"/>
        <v>1915.56</v>
      </c>
      <c r="AA190" s="350">
        <f t="shared" si="111"/>
        <v>1915.56</v>
      </c>
      <c r="AB190" s="181">
        <f t="shared" si="111"/>
        <v>1903.5</v>
      </c>
      <c r="AC190" s="181">
        <f t="shared" si="111"/>
        <v>1903.5</v>
      </c>
      <c r="AD190" s="193">
        <f t="shared" si="111"/>
        <v>1903.5</v>
      </c>
      <c r="AE190" s="369">
        <f t="shared" si="111"/>
        <v>1903.5</v>
      </c>
      <c r="AF190" s="136"/>
    </row>
    <row r="191" spans="2:32" s="116" customFormat="1" ht="13.5" thickBot="1">
      <c r="B191" s="49" t="s">
        <v>207</v>
      </c>
      <c r="C191" s="181"/>
      <c r="D191" s="181">
        <f>D171</f>
        <v>3163.82</v>
      </c>
      <c r="E191" s="181">
        <f t="shared" ref="E191:AE191" si="112">E171</f>
        <v>4717.76</v>
      </c>
      <c r="F191" s="181">
        <f t="shared" si="112"/>
        <v>4717.76</v>
      </c>
      <c r="G191" s="181">
        <f t="shared" si="112"/>
        <v>4717.76</v>
      </c>
      <c r="H191" s="181">
        <f t="shared" si="112"/>
        <v>4717.76</v>
      </c>
      <c r="I191" s="181">
        <f t="shared" si="112"/>
        <v>4717.76</v>
      </c>
      <c r="J191" s="193">
        <f t="shared" si="112"/>
        <v>6547.91</v>
      </c>
      <c r="K191" s="369">
        <f t="shared" si="112"/>
        <v>7397.91</v>
      </c>
      <c r="L191" s="350">
        <f t="shared" si="112"/>
        <v>8247.91</v>
      </c>
      <c r="M191" s="181">
        <f t="shared" si="112"/>
        <v>9097.91</v>
      </c>
      <c r="N191" s="181">
        <f t="shared" si="112"/>
        <v>9097.91</v>
      </c>
      <c r="O191" s="193">
        <f t="shared" si="112"/>
        <v>9097.91</v>
      </c>
      <c r="P191" s="369">
        <f t="shared" si="112"/>
        <v>9097.91</v>
      </c>
      <c r="Q191" s="350">
        <f t="shared" si="112"/>
        <v>9097.91</v>
      </c>
      <c r="R191" s="181">
        <f t="shared" si="112"/>
        <v>10017.91</v>
      </c>
      <c r="S191" s="181">
        <f t="shared" si="112"/>
        <v>10297.91</v>
      </c>
      <c r="T191" s="193">
        <f t="shared" si="112"/>
        <v>9726.59</v>
      </c>
      <c r="U191" s="369">
        <f t="shared" si="112"/>
        <v>10646.59</v>
      </c>
      <c r="V191" s="350">
        <f t="shared" si="112"/>
        <v>11566.59</v>
      </c>
      <c r="W191" s="181">
        <f t="shared" si="112"/>
        <v>11566.59</v>
      </c>
      <c r="X191" s="181">
        <f t="shared" si="112"/>
        <v>12506.59</v>
      </c>
      <c r="Y191" s="193">
        <f t="shared" si="112"/>
        <v>13446.59</v>
      </c>
      <c r="Z191" s="369">
        <f t="shared" si="112"/>
        <v>12525.67</v>
      </c>
      <c r="AA191" s="350">
        <f t="shared" si="112"/>
        <v>12578.369999999999</v>
      </c>
      <c r="AB191" s="181">
        <f t="shared" si="112"/>
        <v>13438.369999999999</v>
      </c>
      <c r="AC191" s="181">
        <f t="shared" si="112"/>
        <v>13438.369999999999</v>
      </c>
      <c r="AD191" s="193">
        <f t="shared" si="112"/>
        <v>12600.15</v>
      </c>
      <c r="AE191" s="369">
        <f t="shared" si="112"/>
        <v>13540.15</v>
      </c>
      <c r="AF191" s="136"/>
    </row>
    <row r="192" spans="2:32" s="37" customFormat="1" ht="13.5" thickBot="1">
      <c r="B192" s="117" t="s">
        <v>208</v>
      </c>
      <c r="C192" s="219"/>
      <c r="D192" s="219">
        <f>SUM(D189:D191)</f>
        <v>10519.16</v>
      </c>
      <c r="E192" s="219">
        <f t="shared" ref="E192:AE192" si="113">SUM(E189:E191)</f>
        <v>13003.869000000001</v>
      </c>
      <c r="F192" s="219">
        <f t="shared" si="113"/>
        <v>13256.09</v>
      </c>
      <c r="G192" s="219">
        <f t="shared" si="113"/>
        <v>13907.759500000002</v>
      </c>
      <c r="H192" s="219">
        <f t="shared" si="113"/>
        <v>14421.326378333333</v>
      </c>
      <c r="I192" s="219">
        <f t="shared" si="113"/>
        <v>14953.163656666668</v>
      </c>
      <c r="J192" s="402">
        <f t="shared" si="113"/>
        <v>17252.194303</v>
      </c>
      <c r="K192" s="403">
        <f t="shared" si="113"/>
        <v>20268.324949333335</v>
      </c>
      <c r="L192" s="404">
        <f t="shared" si="113"/>
        <v>21831.902744952382</v>
      </c>
      <c r="M192" s="219">
        <f t="shared" si="113"/>
        <v>23203.230540571429</v>
      </c>
      <c r="N192" s="219">
        <f t="shared" si="113"/>
        <v>23821.215108571429</v>
      </c>
      <c r="O192" s="402">
        <f t="shared" si="113"/>
        <v>24439.199676571428</v>
      </c>
      <c r="P192" s="403">
        <f t="shared" si="113"/>
        <v>25057.184244571428</v>
      </c>
      <c r="Q192" s="404">
        <f t="shared" si="113"/>
        <v>25583.168812571428</v>
      </c>
      <c r="R192" s="219">
        <f t="shared" si="113"/>
        <v>27173.512008489797</v>
      </c>
      <c r="S192" s="219">
        <f t="shared" si="113"/>
        <v>28123.855204408163</v>
      </c>
      <c r="T192" s="402">
        <f t="shared" si="113"/>
        <v>28050.098400326533</v>
      </c>
      <c r="U192" s="403">
        <f t="shared" si="113"/>
        <v>29640.441596244898</v>
      </c>
      <c r="V192" s="404">
        <f t="shared" si="113"/>
        <v>31230.784792163264</v>
      </c>
      <c r="W192" s="219">
        <f t="shared" si="113"/>
        <v>31901.127988081629</v>
      </c>
      <c r="X192" s="219">
        <f t="shared" si="113"/>
        <v>33511.471184000002</v>
      </c>
      <c r="Y192" s="402">
        <f t="shared" si="113"/>
        <v>34919.648017333333</v>
      </c>
      <c r="Z192" s="403">
        <f t="shared" si="113"/>
        <v>34375.584850666666</v>
      </c>
      <c r="AA192" s="404">
        <f t="shared" si="113"/>
        <v>34896.461683999994</v>
      </c>
      <c r="AB192" s="219">
        <f t="shared" si="113"/>
        <v>36212.578517333328</v>
      </c>
      <c r="AC192" s="219">
        <f t="shared" si="113"/>
        <v>36680.755350666659</v>
      </c>
      <c r="AD192" s="402">
        <f t="shared" si="113"/>
        <v>36310.712183999996</v>
      </c>
      <c r="AE192" s="403">
        <f t="shared" si="113"/>
        <v>37687.809729000001</v>
      </c>
      <c r="AF192" s="113"/>
    </row>
    <row r="193" spans="1:32" s="37" customFormat="1">
      <c r="B193" s="38"/>
      <c r="C193" s="220"/>
      <c r="D193" s="220"/>
      <c r="E193" s="220"/>
      <c r="F193" s="220"/>
      <c r="G193" s="220"/>
      <c r="H193" s="220"/>
      <c r="I193" s="220"/>
      <c r="J193" s="405"/>
      <c r="K193" s="406"/>
      <c r="L193" s="407"/>
      <c r="M193" s="220"/>
      <c r="N193" s="220"/>
      <c r="O193" s="405"/>
      <c r="P193" s="408"/>
      <c r="Q193" s="407"/>
      <c r="R193" s="220"/>
      <c r="S193" s="220"/>
      <c r="T193" s="405"/>
      <c r="U193" s="408"/>
      <c r="V193" s="407"/>
      <c r="W193" s="220"/>
      <c r="X193" s="220"/>
      <c r="Y193" s="405"/>
      <c r="Z193" s="406"/>
      <c r="AA193" s="409"/>
      <c r="AB193" s="221"/>
      <c r="AC193" s="221"/>
      <c r="AD193" s="410"/>
      <c r="AE193" s="406"/>
      <c r="AF193" s="113"/>
    </row>
    <row r="194" spans="1:32" s="37" customFormat="1">
      <c r="B194" s="115" t="s">
        <v>209</v>
      </c>
      <c r="C194" s="220"/>
      <c r="D194" s="220"/>
      <c r="E194" s="220"/>
      <c r="F194" s="220"/>
      <c r="G194" s="220"/>
      <c r="H194" s="220"/>
      <c r="I194" s="220"/>
      <c r="J194" s="405"/>
      <c r="K194" s="406"/>
      <c r="L194" s="407"/>
      <c r="M194" s="220"/>
      <c r="N194" s="220"/>
      <c r="O194" s="405"/>
      <c r="P194" s="408"/>
      <c r="Q194" s="407"/>
      <c r="R194" s="220"/>
      <c r="S194" s="220"/>
      <c r="T194" s="405"/>
      <c r="U194" s="408"/>
      <c r="V194" s="407"/>
      <c r="W194" s="220"/>
      <c r="X194" s="220"/>
      <c r="Y194" s="405"/>
      <c r="Z194" s="406"/>
      <c r="AA194" s="409"/>
      <c r="AB194" s="221"/>
      <c r="AC194" s="221"/>
      <c r="AD194" s="410"/>
      <c r="AE194" s="406"/>
      <c r="AF194" s="113"/>
    </row>
    <row r="195" spans="1:32" s="31" customFormat="1" ht="13.5" thickBot="1">
      <c r="A195" s="116"/>
      <c r="B195" s="118" t="s">
        <v>210</v>
      </c>
      <c r="C195" s="222"/>
      <c r="D195" s="222"/>
      <c r="E195" s="222"/>
      <c r="F195" s="195"/>
      <c r="G195" s="195">
        <f>INDEX(Elforbrug!$AB$8:$AB$32,G175-$F$175,1)</f>
        <v>32857.014155427329</v>
      </c>
      <c r="H195" s="195">
        <f>INDEX(Elforbrug!$AB$8:$AB$32,H175-$F$175,1)</f>
        <v>33076.488526435198</v>
      </c>
      <c r="I195" s="195">
        <f>INDEX(Elforbrug!$AB$8:$AB$32,I175-$F$175,1)</f>
        <v>33284.652138229911</v>
      </c>
      <c r="J195" s="205">
        <f>INDEX(Elforbrug!$AB$8:$AB$32,J175-$F$175,1)</f>
        <v>33533.834777179698</v>
      </c>
      <c r="K195" s="378">
        <f>INDEX(Elforbrug!$AB$8:$AB$32,K175-$F$175,1)</f>
        <v>33540.580429424073</v>
      </c>
      <c r="L195" s="379">
        <f>INDEX(Elforbrug!$AB$8:$AB$32,L175-$F$175,1)</f>
        <v>33479.332759171266</v>
      </c>
      <c r="M195" s="195">
        <f>INDEX(Elforbrug!$AB$8:$AB$32,M175-$F$175,1)</f>
        <v>33541.328797926821</v>
      </c>
      <c r="N195" s="195">
        <f>INDEX(Elforbrug!$AB$8:$AB$32,N175-$F$175,1)</f>
        <v>33561.172726487799</v>
      </c>
      <c r="O195" s="205">
        <f>INDEX(Elforbrug!$AB$8:$AB$32,O175-$F$175,1)</f>
        <v>33600.152169432156</v>
      </c>
      <c r="P195" s="378">
        <f>INDEX(Elforbrug!$AB$8:$AB$32,P175-$F$175,1)</f>
        <v>33628.634029891007</v>
      </c>
      <c r="Q195" s="379">
        <f>INDEX(Elforbrug!$AB$8:$AB$32,Q175-$F$175,1)</f>
        <v>33622.543663274264</v>
      </c>
      <c r="R195" s="195">
        <f>INDEX(Elforbrug!$AB$8:$AB$32,R175-$F$175,1)</f>
        <v>33638.14210988889</v>
      </c>
      <c r="S195" s="195">
        <f>INDEX(Elforbrug!$AB$8:$AB$32,S175-$F$175,1)</f>
        <v>33616.070542815003</v>
      </c>
      <c r="T195" s="205">
        <f>INDEX(Elforbrug!$AB$8:$AB$32,T175-$F$175,1)</f>
        <v>33601.754288221673</v>
      </c>
      <c r="U195" s="378">
        <f>INDEX(Elforbrug!$AB$8:$AB$32,U175-$F$175,1)</f>
        <v>33658.378379379006</v>
      </c>
      <c r="V195" s="379">
        <f>INDEX(Elforbrug!$AB$8:$AB$32,V175-$F$175,1)</f>
        <v>33636.626886257174</v>
      </c>
      <c r="W195" s="195">
        <f>INDEX(Elforbrug!$AB$8:$AB$32,W175-$F$175,1)</f>
        <v>33625.547055156356</v>
      </c>
      <c r="X195" s="195">
        <f>INDEX(Elforbrug!$AB$8:$AB$32,X175-$F$175,1)</f>
        <v>33568.471985025011</v>
      </c>
      <c r="Y195" s="205">
        <f>INDEX(Elforbrug!$AB$8:$AB$32,Y175-$F$175,1)</f>
        <v>33502.054404130518</v>
      </c>
      <c r="Z195" s="378">
        <f>INDEX(Elforbrug!$AB$8:$AB$32,Z175-$F$175,1)</f>
        <v>33534.059193041903</v>
      </c>
      <c r="AA195" s="379">
        <f>INDEX(Elforbrug!$AB$8:$AB$32,AA175-$F$175,1)</f>
        <v>33491.313708789159</v>
      </c>
      <c r="AB195" s="195">
        <f>INDEX(Elforbrug!$AB$8:$AB$32,AB175-$F$175,1)</f>
        <v>33481.160487550384</v>
      </c>
      <c r="AC195" s="195">
        <f>INDEX(Elforbrug!$AB$8:$AB$32,AC175-$F$175,1)</f>
        <v>33462.746236101964</v>
      </c>
      <c r="AD195" s="205">
        <f>INDEX(Elforbrug!$AB$8:$AB$32,AD175-$F$175,1)</f>
        <v>33447.634171412537</v>
      </c>
      <c r="AE195" s="378">
        <f>INDEX(Elforbrug!$AB$8:$AB$32,AE175-$F$175,1)</f>
        <v>33524.538858351872</v>
      </c>
      <c r="AF195" s="136"/>
    </row>
    <row r="196" spans="1:32" s="37" customFormat="1" ht="13.5" thickBot="1">
      <c r="B196" s="119" t="s">
        <v>118</v>
      </c>
      <c r="C196" s="223"/>
      <c r="D196" s="223"/>
      <c r="E196" s="223"/>
      <c r="F196" s="224"/>
      <c r="G196" s="223">
        <f t="shared" ref="G196:AE196" si="114">G192/G195</f>
        <v>0.42328129495305084</v>
      </c>
      <c r="H196" s="223">
        <f t="shared" si="114"/>
        <v>0.43599931615496623</v>
      </c>
      <c r="I196" s="223">
        <f t="shared" si="114"/>
        <v>0.44925101198494549</v>
      </c>
      <c r="J196" s="411">
        <f t="shared" si="114"/>
        <v>0.51447126216356232</v>
      </c>
      <c r="K196" s="837">
        <f>K192/K195</f>
        <v>0.60429261181039629</v>
      </c>
      <c r="L196" s="412">
        <f t="shared" si="114"/>
        <v>0.65210089167538121</v>
      </c>
      <c r="M196" s="223">
        <f t="shared" si="114"/>
        <v>0.69178030126241197</v>
      </c>
      <c r="N196" s="223">
        <f t="shared" si="114"/>
        <v>0.70978494412892756</v>
      </c>
      <c r="O196" s="411">
        <f t="shared" si="114"/>
        <v>0.7273538391532961</v>
      </c>
      <c r="P196" s="413">
        <f t="shared" si="114"/>
        <v>0.74511454203876393</v>
      </c>
      <c r="Q196" s="412">
        <f t="shared" si="114"/>
        <v>0.76089331814938788</v>
      </c>
      <c r="R196" s="223">
        <f t="shared" si="114"/>
        <v>0.80781845560077381</v>
      </c>
      <c r="S196" s="223">
        <f t="shared" si="114"/>
        <v>0.83661935349012018</v>
      </c>
      <c r="T196" s="411">
        <f t="shared" si="114"/>
        <v>0.83478077244790916</v>
      </c>
      <c r="U196" s="413">
        <f t="shared" si="114"/>
        <v>0.88062595476686067</v>
      </c>
      <c r="V196" s="414">
        <f t="shared" si="114"/>
        <v>0.92847552454562976</v>
      </c>
      <c r="W196" s="224">
        <f t="shared" si="114"/>
        <v>0.9487169959124786</v>
      </c>
      <c r="X196" s="224">
        <f t="shared" si="114"/>
        <v>0.99830195425486046</v>
      </c>
      <c r="Y196" s="415">
        <f t="shared" si="114"/>
        <v>1.0423136323552755</v>
      </c>
      <c r="Z196" s="413">
        <f t="shared" si="114"/>
        <v>1.0250946553407221</v>
      </c>
      <c r="AA196" s="414">
        <f t="shared" si="114"/>
        <v>1.0419555944394645</v>
      </c>
      <c r="AB196" s="224">
        <f t="shared" si="114"/>
        <v>1.0815807454105002</v>
      </c>
      <c r="AC196" s="224">
        <f t="shared" si="114"/>
        <v>1.0961669162434995</v>
      </c>
      <c r="AD196" s="415">
        <f t="shared" si="114"/>
        <v>1.0855988198721245</v>
      </c>
      <c r="AE196" s="413">
        <f t="shared" si="114"/>
        <v>1.1241857759248772</v>
      </c>
      <c r="AF196" s="113"/>
    </row>
    <row r="197" spans="1:32" s="31" customFormat="1" ht="13.5" thickBot="1">
      <c r="B197" s="120" t="s">
        <v>211</v>
      </c>
      <c r="C197" s="225"/>
      <c r="D197" s="226"/>
      <c r="E197" s="226"/>
      <c r="F197" s="624"/>
      <c r="G197" s="624">
        <f>INDEX(Elforbrug!$E$8:$E$32,G175-$F$175,1)</f>
        <v>33943.825028233652</v>
      </c>
      <c r="H197" s="624">
        <f>INDEX(Elforbrug!$E$8:$E$32,H175-$F$175,1)</f>
        <v>34798.042217861206</v>
      </c>
      <c r="I197" s="624">
        <f>INDEX(Elforbrug!$E$8:$E$32,I175-$F$175,1)</f>
        <v>36044.688751633817</v>
      </c>
      <c r="J197" s="183">
        <f>INDEX(Elforbrug!$E$8:$E$32,J175-$F$175,1)</f>
        <v>37137.135754940435</v>
      </c>
      <c r="K197" s="356">
        <f>INDEX(Elforbrug!$E$8:$E$32,K175-$F$175,1)</f>
        <v>38005.302726728209</v>
      </c>
      <c r="L197" s="625">
        <f>INDEX(Elforbrug!$E$8:$E$32,L175-$F$175,1)</f>
        <v>38739.590520906015</v>
      </c>
      <c r="M197" s="624">
        <f>INDEX(Elforbrug!$E$8:$E$32,M175-$F$175,1)</f>
        <v>39684.271348421069</v>
      </c>
      <c r="N197" s="624">
        <f>INDEX(Elforbrug!$E$8:$E$32,N175-$F$175,1)</f>
        <v>40702.371753068699</v>
      </c>
      <c r="O197" s="183">
        <f>INDEX(Elforbrug!$E$8:$E$32,O175-$F$175,1)</f>
        <v>41125.105036182562</v>
      </c>
      <c r="P197" s="356">
        <f>INDEX(Elforbrug!$E$8:$E$32,P175-$F$175,1)</f>
        <v>41474.80414789811</v>
      </c>
      <c r="Q197" s="625">
        <f>INDEX(Elforbrug!$E$8:$E$32,Q175-$F$175,1)</f>
        <v>42031.677493168638</v>
      </c>
      <c r="R197" s="624">
        <f>INDEX(Elforbrug!$E$8:$E$32,R175-$F$175,1)</f>
        <v>42428.845285096584</v>
      </c>
      <c r="S197" s="624">
        <f>INDEX(Elforbrug!$E$8:$E$32,S175-$F$175,1)</f>
        <v>42731.676663413411</v>
      </c>
      <c r="T197" s="183">
        <f>INDEX(Elforbrug!$E$8:$E$32,T175-$F$175,1)</f>
        <v>42980.136119432573</v>
      </c>
      <c r="U197" s="356">
        <f>INDEX(Elforbrug!$E$8:$E$32,U175-$F$175,1)</f>
        <v>43561.083796919353</v>
      </c>
      <c r="V197" s="625">
        <f>INDEX(Elforbrug!$E$8:$E$32,V175-$F$175,1)</f>
        <v>43840.181712917867</v>
      </c>
      <c r="W197" s="624">
        <f>INDEX(Elforbrug!$E$8:$E$32,W175-$F$175,1)</f>
        <v>44150.363190362325</v>
      </c>
      <c r="X197" s="624">
        <f>INDEX(Elforbrug!$E$8:$E$32,X175-$F$175,1)</f>
        <v>44336.766104564565</v>
      </c>
      <c r="Y197" s="183">
        <f>INDEX(Elforbrug!$E$8:$E$32,Y175-$F$175,1)</f>
        <v>44522.730311005595</v>
      </c>
      <c r="Z197" s="356">
        <f>INDEX(Elforbrug!$E$8:$E$32,Z175-$F$175,1)</f>
        <v>44743.643356986344</v>
      </c>
      <c r="AA197" s="625">
        <f>INDEX(Elforbrug!$E$8:$E$32,AA175-$F$175,1)</f>
        <v>45028.991163387989</v>
      </c>
      <c r="AB197" s="624">
        <f>INDEX(Elforbrug!$E$8:$E$32,AB175-$F$175,1)</f>
        <v>45379.502712074376</v>
      </c>
      <c r="AC197" s="624">
        <f>INDEX(Elforbrug!$E$8:$E$32,AC175-$F$175,1)</f>
        <v>45694.097094188473</v>
      </c>
      <c r="AD197" s="183">
        <f>INDEX(Elforbrug!$E$8:$E$32,AD175-$F$175,1)</f>
        <v>46052.384840011509</v>
      </c>
      <c r="AE197" s="356">
        <f>INDEX(Elforbrug!$E$8:$E$32,AE175-$F$175,1)</f>
        <v>46569.942965550872</v>
      </c>
      <c r="AF197" s="136"/>
    </row>
    <row r="198" spans="1:32" s="37" customFormat="1" ht="13.5" thickBot="1">
      <c r="B198" s="119" t="s">
        <v>119</v>
      </c>
      <c r="C198" s="223"/>
      <c r="D198" s="223"/>
      <c r="E198" s="223"/>
      <c r="F198" s="223"/>
      <c r="G198" s="223">
        <f t="shared" ref="G198:AE198" si="115">G192/G197</f>
        <v>0.40972870583771465</v>
      </c>
      <c r="H198" s="223">
        <f t="shared" si="115"/>
        <v>0.41442924541689091</v>
      </c>
      <c r="I198" s="223">
        <f t="shared" si="115"/>
        <v>0.41485068049003132</v>
      </c>
      <c r="J198" s="411">
        <f t="shared" si="115"/>
        <v>0.46455371294230474</v>
      </c>
      <c r="K198" s="837">
        <f t="shared" si="115"/>
        <v>0.53330255241143265</v>
      </c>
      <c r="L198" s="412">
        <f t="shared" si="115"/>
        <v>0.56355533064219365</v>
      </c>
      <c r="M198" s="223">
        <f t="shared" si="115"/>
        <v>0.58469589467451877</v>
      </c>
      <c r="N198" s="223">
        <f t="shared" si="115"/>
        <v>0.58525373541101966</v>
      </c>
      <c r="O198" s="411">
        <f t="shared" si="115"/>
        <v>0.59426473573914051</v>
      </c>
      <c r="P198" s="416">
        <f t="shared" si="115"/>
        <v>0.60415437177757703</v>
      </c>
      <c r="Q198" s="412">
        <f t="shared" si="115"/>
        <v>0.6086639967374472</v>
      </c>
      <c r="R198" s="223">
        <f t="shared" si="115"/>
        <v>0.6404490111833111</v>
      </c>
      <c r="S198" s="223">
        <f t="shared" si="115"/>
        <v>0.65815005168022411</v>
      </c>
      <c r="T198" s="411">
        <f t="shared" si="115"/>
        <v>0.65262935236829711</v>
      </c>
      <c r="U198" s="416">
        <f t="shared" si="115"/>
        <v>0.68043397943053652</v>
      </c>
      <c r="V198" s="412">
        <f t="shared" si="115"/>
        <v>0.71237808722313889</v>
      </c>
      <c r="W198" s="223">
        <f t="shared" si="115"/>
        <v>0.72255641138293947</v>
      </c>
      <c r="X198" s="223">
        <f t="shared" si="115"/>
        <v>0.75583932091406913</v>
      </c>
      <c r="Y198" s="411">
        <f t="shared" si="115"/>
        <v>0.7843105706547725</v>
      </c>
      <c r="Z198" s="416">
        <f t="shared" si="115"/>
        <v>0.76827862622633758</v>
      </c>
      <c r="AA198" s="412">
        <f t="shared" si="115"/>
        <v>0.77497764845270356</v>
      </c>
      <c r="AB198" s="223">
        <f t="shared" si="115"/>
        <v>0.79799416814010271</v>
      </c>
      <c r="AC198" s="223">
        <f t="shared" si="115"/>
        <v>0.80274603686899071</v>
      </c>
      <c r="AD198" s="411">
        <f t="shared" si="115"/>
        <v>0.7884654032607733</v>
      </c>
      <c r="AE198" s="416">
        <f t="shared" si="115"/>
        <v>0.80927326359147056</v>
      </c>
      <c r="AF198" s="113"/>
    </row>
    <row r="199" spans="1:32" s="32" customFormat="1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</row>
    <row r="200" spans="1:32" s="32" customFormat="1">
      <c r="B200" s="36"/>
      <c r="C200" s="227"/>
      <c r="D200" s="227"/>
      <c r="E200" s="227"/>
      <c r="F200" s="227"/>
      <c r="G200" s="227"/>
      <c r="H200" s="227"/>
      <c r="I200" s="227"/>
      <c r="J200" s="227"/>
      <c r="K200" s="228"/>
      <c r="L200" s="227"/>
      <c r="M200" s="227"/>
      <c r="N200" s="227"/>
      <c r="O200" s="227"/>
      <c r="P200" s="227"/>
      <c r="Q200" s="227"/>
      <c r="R200" s="227"/>
      <c r="S200" s="227"/>
      <c r="T200" s="227"/>
      <c r="U200" s="227"/>
      <c r="V200" s="227"/>
      <c r="W200" s="227"/>
      <c r="X200" s="227"/>
      <c r="Y200" s="227"/>
      <c r="Z200" s="227"/>
      <c r="AA200" s="229"/>
      <c r="AB200" s="229"/>
      <c r="AC200" s="229"/>
      <c r="AD200" s="229"/>
      <c r="AE200" s="237"/>
    </row>
    <row r="201" spans="1:32" s="32" customFormat="1" ht="18">
      <c r="B201" s="121" t="s">
        <v>299</v>
      </c>
      <c r="C201" s="227"/>
      <c r="D201" s="227"/>
      <c r="E201" s="227"/>
      <c r="F201" s="227"/>
      <c r="G201" s="227"/>
      <c r="H201" s="227"/>
      <c r="I201" s="227"/>
      <c r="J201" s="227"/>
      <c r="K201" s="230"/>
      <c r="L201" s="227"/>
      <c r="M201" s="227"/>
      <c r="N201" s="227"/>
      <c r="O201" s="227"/>
      <c r="P201" s="227"/>
      <c r="Q201" s="227"/>
      <c r="R201" s="227"/>
      <c r="S201" s="227"/>
      <c r="T201" s="227"/>
      <c r="U201" s="227"/>
      <c r="V201" s="227"/>
      <c r="W201" s="227"/>
      <c r="X201" s="227"/>
      <c r="Y201" s="227"/>
      <c r="Z201" s="227"/>
      <c r="AA201" s="229"/>
      <c r="AB201"/>
      <c r="AC201"/>
      <c r="AD201"/>
      <c r="AE201"/>
    </row>
    <row r="202" spans="1:32" s="31" customFormat="1" ht="15">
      <c r="B202" s="231"/>
      <c r="C202" s="232">
        <v>2012</v>
      </c>
      <c r="D202" s="232">
        <v>2013</v>
      </c>
      <c r="E202" s="232">
        <v>2014</v>
      </c>
      <c r="F202" s="232">
        <v>2015</v>
      </c>
      <c r="G202" s="232">
        <v>2016</v>
      </c>
      <c r="H202" s="232">
        <v>2017</v>
      </c>
      <c r="I202" s="232">
        <v>2018</v>
      </c>
      <c r="J202" s="417">
        <v>2019</v>
      </c>
      <c r="K202" s="418">
        <v>2020</v>
      </c>
      <c r="L202" s="419">
        <v>2021</v>
      </c>
      <c r="M202" s="232">
        <v>2022</v>
      </c>
      <c r="N202" s="232">
        <v>2023</v>
      </c>
      <c r="O202" s="417">
        <v>2024</v>
      </c>
      <c r="P202" s="418">
        <v>2025</v>
      </c>
      <c r="Q202" s="419">
        <v>2026</v>
      </c>
      <c r="R202" s="232">
        <v>2027</v>
      </c>
      <c r="S202" s="232">
        <v>2028</v>
      </c>
      <c r="T202" s="417">
        <v>2029</v>
      </c>
      <c r="U202" s="418">
        <v>2030</v>
      </c>
      <c r="V202" s="419">
        <v>2031</v>
      </c>
      <c r="W202" s="232">
        <v>2032</v>
      </c>
      <c r="X202" s="232">
        <v>2033</v>
      </c>
      <c r="Y202" s="417">
        <v>2034</v>
      </c>
      <c r="Z202" s="418">
        <v>2035</v>
      </c>
      <c r="AA202" s="229"/>
      <c r="AB202"/>
      <c r="AC202"/>
      <c r="AD202"/>
      <c r="AE202"/>
      <c r="AF202" s="32"/>
    </row>
    <row r="203" spans="1:32" s="31" customFormat="1">
      <c r="B203" s="115" t="s">
        <v>194</v>
      </c>
      <c r="C203" s="206"/>
      <c r="D203" s="206"/>
      <c r="E203" s="206"/>
      <c r="F203" s="206"/>
      <c r="G203" s="206"/>
      <c r="H203" s="206"/>
      <c r="I203" s="206"/>
      <c r="J203" s="207"/>
      <c r="K203" s="380"/>
      <c r="L203" s="381"/>
      <c r="M203" s="206"/>
      <c r="N203" s="206"/>
      <c r="O203" s="207"/>
      <c r="P203" s="380"/>
      <c r="Q203" s="381"/>
      <c r="R203" s="206"/>
      <c r="S203" s="206"/>
      <c r="T203" s="207"/>
      <c r="U203" s="380"/>
      <c r="V203" s="381"/>
      <c r="W203" s="206"/>
      <c r="X203" s="206"/>
      <c r="Y203" s="207"/>
      <c r="Z203" s="380"/>
      <c r="AA203" s="229"/>
      <c r="AB203"/>
      <c r="AC203"/>
      <c r="AD203"/>
      <c r="AE203"/>
      <c r="AF203" s="32"/>
    </row>
    <row r="204" spans="1:32" s="31" customFormat="1">
      <c r="B204" s="49" t="s">
        <v>195</v>
      </c>
      <c r="C204" s="206"/>
      <c r="D204" s="181">
        <v>3240.8999999999996</v>
      </c>
      <c r="E204" s="181">
        <v>3547.92</v>
      </c>
      <c r="F204" s="181">
        <v>3624.5899999999997</v>
      </c>
      <c r="G204" s="181">
        <v>3770.19</v>
      </c>
      <c r="H204" s="181">
        <v>3919.8395</v>
      </c>
      <c r="I204" s="181">
        <v>3969.8395</v>
      </c>
      <c r="J204" s="193">
        <v>4019.8395000000005</v>
      </c>
      <c r="K204" s="369">
        <v>4069.8395</v>
      </c>
      <c r="L204" s="350">
        <v>4119.8395</v>
      </c>
      <c r="M204" s="181">
        <v>4169.8395</v>
      </c>
      <c r="N204" s="181">
        <v>4219.8395</v>
      </c>
      <c r="O204" s="193">
        <v>4269.8395</v>
      </c>
      <c r="P204" s="369">
        <v>4319.8395</v>
      </c>
      <c r="Q204" s="350">
        <v>4369.8395</v>
      </c>
      <c r="R204" s="181">
        <v>4419.8395</v>
      </c>
      <c r="S204" s="181">
        <v>4469.839500000001</v>
      </c>
      <c r="T204" s="193">
        <v>4519.8395</v>
      </c>
      <c r="U204" s="369">
        <v>4569.8395</v>
      </c>
      <c r="V204" s="350">
        <v>4619.8395</v>
      </c>
      <c r="W204" s="181">
        <v>4626.1895000000004</v>
      </c>
      <c r="X204" s="181">
        <v>4632.5394999999999</v>
      </c>
      <c r="Y204" s="193">
        <v>4638.8895000000002</v>
      </c>
      <c r="Z204" s="369">
        <v>4645.2394999999997</v>
      </c>
      <c r="AA204" s="229"/>
      <c r="AB204"/>
      <c r="AC204"/>
      <c r="AD204"/>
      <c r="AE204"/>
      <c r="AF204" s="32"/>
    </row>
    <row r="205" spans="1:32" s="31" customFormat="1">
      <c r="B205" s="49" t="s">
        <v>196</v>
      </c>
      <c r="C205" s="206"/>
      <c r="D205" s="181">
        <v>129.55000000000001</v>
      </c>
      <c r="E205" s="181">
        <v>129.55000000000001</v>
      </c>
      <c r="F205" s="181">
        <v>129.55000000000001</v>
      </c>
      <c r="G205" s="181">
        <v>129.55000000000001</v>
      </c>
      <c r="H205" s="181">
        <v>129.55000000000001</v>
      </c>
      <c r="I205" s="181">
        <v>129.55000000000001</v>
      </c>
      <c r="J205" s="193">
        <v>129.55000000000001</v>
      </c>
      <c r="K205" s="369">
        <v>529.54999999999995</v>
      </c>
      <c r="L205" s="350">
        <v>529.54999999999995</v>
      </c>
      <c r="M205" s="181">
        <v>529.54999999999995</v>
      </c>
      <c r="N205" s="181">
        <v>529.54999999999995</v>
      </c>
      <c r="O205" s="193">
        <v>529.54999999999995</v>
      </c>
      <c r="P205" s="369">
        <v>529.54999999999995</v>
      </c>
      <c r="Q205" s="350">
        <v>529.54999999999995</v>
      </c>
      <c r="R205" s="181">
        <v>529.54999999999995</v>
      </c>
      <c r="S205" s="181">
        <v>529.54999999999995</v>
      </c>
      <c r="T205" s="193">
        <v>529.54999999999995</v>
      </c>
      <c r="U205" s="369">
        <v>529.54999999999995</v>
      </c>
      <c r="V205" s="350">
        <v>529.54999999999995</v>
      </c>
      <c r="W205" s="181">
        <v>529.54999999999995</v>
      </c>
      <c r="X205" s="181">
        <v>529.54999999999995</v>
      </c>
      <c r="Y205" s="193">
        <v>529.54999999999995</v>
      </c>
      <c r="Z205" s="369">
        <v>529.54999999999995</v>
      </c>
      <c r="AA205" s="229"/>
      <c r="AB205"/>
      <c r="AC205"/>
      <c r="AD205"/>
      <c r="AE205"/>
      <c r="AF205" s="32"/>
    </row>
    <row r="206" spans="1:32" s="31" customFormat="1" ht="13.5" thickBot="1">
      <c r="B206" s="49" t="s">
        <v>197</v>
      </c>
      <c r="C206" s="206"/>
      <c r="D206" s="181">
        <v>792.30000000000007</v>
      </c>
      <c r="E206" s="181">
        <v>1141.5</v>
      </c>
      <c r="F206" s="181">
        <v>1141.5</v>
      </c>
      <c r="G206" s="181">
        <v>1141.5</v>
      </c>
      <c r="H206" s="181">
        <v>1141.5</v>
      </c>
      <c r="I206" s="181">
        <v>1241.5</v>
      </c>
      <c r="J206" s="193">
        <v>1391.5</v>
      </c>
      <c r="K206" s="369">
        <v>1741.5</v>
      </c>
      <c r="L206" s="350">
        <v>1941.5</v>
      </c>
      <c r="M206" s="181">
        <v>2141.5</v>
      </c>
      <c r="N206" s="181">
        <v>2141.5</v>
      </c>
      <c r="O206" s="193">
        <v>2141.5</v>
      </c>
      <c r="P206" s="369">
        <v>2141.5</v>
      </c>
      <c r="Q206" s="350">
        <v>2341.5</v>
      </c>
      <c r="R206" s="181">
        <v>2541.5</v>
      </c>
      <c r="S206" s="181">
        <v>2541.5</v>
      </c>
      <c r="T206" s="193">
        <v>2741.5</v>
      </c>
      <c r="U206" s="369">
        <v>2941.5</v>
      </c>
      <c r="V206" s="350">
        <v>2941.5</v>
      </c>
      <c r="W206" s="181">
        <v>2941.5</v>
      </c>
      <c r="X206" s="181">
        <v>2941.5</v>
      </c>
      <c r="Y206" s="193">
        <v>2941.5</v>
      </c>
      <c r="Z206" s="369">
        <v>2941.5</v>
      </c>
      <c r="AA206" s="229"/>
      <c r="AB206"/>
      <c r="AC206"/>
      <c r="AD206"/>
      <c r="AE206"/>
      <c r="AF206" s="32"/>
    </row>
    <row r="207" spans="1:32" s="31" customFormat="1" ht="13.5" thickBot="1">
      <c r="B207" s="97" t="s">
        <v>198</v>
      </c>
      <c r="C207" s="198"/>
      <c r="D207" s="198">
        <v>4162.75</v>
      </c>
      <c r="E207" s="199">
        <v>4818.97</v>
      </c>
      <c r="F207" s="199">
        <v>4895.6399999999994</v>
      </c>
      <c r="G207" s="199">
        <v>5041.24</v>
      </c>
      <c r="H207" s="199">
        <v>5190.8895000000002</v>
      </c>
      <c r="I207" s="199">
        <v>5340.8895000000002</v>
      </c>
      <c r="J207" s="200">
        <v>5540.8895000000002</v>
      </c>
      <c r="K207" s="372">
        <v>6340.8895000000002</v>
      </c>
      <c r="L207" s="373">
        <v>6590.8895000000002</v>
      </c>
      <c r="M207" s="199">
        <v>6840.8895000000002</v>
      </c>
      <c r="N207" s="199">
        <v>6890.8895000000002</v>
      </c>
      <c r="O207" s="200">
        <v>6940.8895000000002</v>
      </c>
      <c r="P207" s="372">
        <v>6990.8895000000002</v>
      </c>
      <c r="Q207" s="373">
        <v>7240.8895000000002</v>
      </c>
      <c r="R207" s="199">
        <v>7490.8895000000002</v>
      </c>
      <c r="S207" s="199">
        <v>7540.8895000000011</v>
      </c>
      <c r="T207" s="200">
        <v>7790.8895000000002</v>
      </c>
      <c r="U207" s="372">
        <v>8040.8895000000002</v>
      </c>
      <c r="V207" s="373">
        <v>8090.8895000000002</v>
      </c>
      <c r="W207" s="199">
        <v>8097.2395000000006</v>
      </c>
      <c r="X207" s="199">
        <v>8103.5895</v>
      </c>
      <c r="Y207" s="200">
        <v>8109.9395000000004</v>
      </c>
      <c r="Z207" s="372">
        <v>8116.2894999999999</v>
      </c>
      <c r="AA207" s="229"/>
      <c r="AB207"/>
      <c r="AC207"/>
      <c r="AD207"/>
      <c r="AE207"/>
      <c r="AF207" s="32"/>
    </row>
    <row r="208" spans="1:32" s="31" customFormat="1">
      <c r="B208" s="38"/>
      <c r="C208" s="206"/>
      <c r="D208" s="206"/>
      <c r="E208" s="206"/>
      <c r="F208" s="206"/>
      <c r="G208" s="206"/>
      <c r="H208" s="206"/>
      <c r="I208" s="206"/>
      <c r="J208" s="207"/>
      <c r="K208" s="380"/>
      <c r="L208" s="381"/>
      <c r="M208" s="206"/>
      <c r="N208" s="206"/>
      <c r="O208" s="207"/>
      <c r="P208" s="380"/>
      <c r="Q208" s="381"/>
      <c r="R208" s="206"/>
      <c r="S208" s="206"/>
      <c r="T208" s="207"/>
      <c r="U208" s="380"/>
      <c r="V208" s="381"/>
      <c r="W208" s="206"/>
      <c r="X208" s="206"/>
      <c r="Y208" s="207"/>
      <c r="Z208" s="380"/>
      <c r="AA208" s="229"/>
      <c r="AB208"/>
      <c r="AC208"/>
      <c r="AD208"/>
      <c r="AE208"/>
      <c r="AF208" s="32"/>
    </row>
    <row r="209" spans="2:32" s="31" customFormat="1">
      <c r="B209" s="115" t="s">
        <v>199</v>
      </c>
      <c r="C209" s="206"/>
      <c r="D209" s="206"/>
      <c r="E209" s="206"/>
      <c r="F209" s="206"/>
      <c r="G209" s="206"/>
      <c r="H209" s="206"/>
      <c r="I209" s="206"/>
      <c r="J209" s="207"/>
      <c r="K209" s="380"/>
      <c r="L209" s="381"/>
      <c r="M209" s="206"/>
      <c r="N209" s="206"/>
      <c r="O209" s="207"/>
      <c r="P209" s="380"/>
      <c r="Q209" s="381"/>
      <c r="R209" s="206"/>
      <c r="S209" s="206"/>
      <c r="T209" s="207"/>
      <c r="U209" s="380"/>
      <c r="V209" s="381"/>
      <c r="W209" s="206"/>
      <c r="X209" s="206"/>
      <c r="Y209" s="207"/>
      <c r="Z209" s="380"/>
      <c r="AA209" s="229"/>
      <c r="AB209"/>
      <c r="AC209"/>
      <c r="AD209"/>
      <c r="AE209"/>
      <c r="AF209" s="32"/>
    </row>
    <row r="210" spans="2:32" s="31" customFormat="1">
      <c r="B210" s="49" t="s">
        <v>200</v>
      </c>
      <c r="C210" s="206"/>
      <c r="D210" s="181">
        <v>2164.18895985683</v>
      </c>
      <c r="E210" s="181">
        <v>2234.462727457214</v>
      </c>
      <c r="F210" s="181">
        <v>2261.1745052543879</v>
      </c>
      <c r="G210" s="181">
        <v>2313.4352645357399</v>
      </c>
      <c r="H210" s="181">
        <v>2378.1801844182651</v>
      </c>
      <c r="I210" s="181">
        <v>2434.7049394026417</v>
      </c>
      <c r="J210" s="193">
        <v>2489.8235498137246</v>
      </c>
      <c r="K210" s="369">
        <v>2543.5878412053212</v>
      </c>
      <c r="L210" s="350">
        <v>2603.8134625320786</v>
      </c>
      <c r="M210" s="181">
        <v>2662.5947687640528</v>
      </c>
      <c r="N210" s="181">
        <v>2719.9831000681429</v>
      </c>
      <c r="O210" s="193">
        <v>2776.0273918291978</v>
      </c>
      <c r="P210" s="369">
        <v>2830.7743138208193</v>
      </c>
      <c r="Q210" s="350">
        <v>2884.2683998217453</v>
      </c>
      <c r="R210" s="181">
        <v>2936.5521684344294</v>
      </c>
      <c r="S210" s="181">
        <v>2987.6662357946916</v>
      </c>
      <c r="T210" s="193">
        <v>3037.6494208003878</v>
      </c>
      <c r="U210" s="369">
        <v>3086.5388434320284</v>
      </c>
      <c r="V210" s="350">
        <v>3134.370016688737</v>
      </c>
      <c r="W210" s="181">
        <v>3149.2617003074101</v>
      </c>
      <c r="X210" s="181">
        <v>3164.1125587195288</v>
      </c>
      <c r="Y210" s="193">
        <v>3178.9227595773268</v>
      </c>
      <c r="Z210" s="369">
        <v>3193.6924696163219</v>
      </c>
      <c r="AA210" s="229"/>
      <c r="AB210"/>
      <c r="AC210"/>
      <c r="AD210"/>
      <c r="AE210"/>
      <c r="AF210" s="32"/>
    </row>
    <row r="211" spans="2:32" s="31" customFormat="1">
      <c r="B211" s="49" t="s">
        <v>201</v>
      </c>
      <c r="C211" s="206"/>
      <c r="D211" s="181">
        <v>3005.5769972983398</v>
      </c>
      <c r="E211" s="181">
        <v>3005.5769972983398</v>
      </c>
      <c r="F211" s="181">
        <v>3005.5769972983398</v>
      </c>
      <c r="G211" s="181">
        <v>3064.8012350443837</v>
      </c>
      <c r="H211" s="181">
        <v>3064.8012350443837</v>
      </c>
      <c r="I211" s="181">
        <v>3064.8012350443837</v>
      </c>
      <c r="J211" s="193">
        <v>3064.8012350443837</v>
      </c>
      <c r="K211" s="369">
        <v>3967.1324709659152</v>
      </c>
      <c r="L211" s="350">
        <v>3967.1324709659152</v>
      </c>
      <c r="M211" s="181">
        <v>3967.1324709659152</v>
      </c>
      <c r="N211" s="181">
        <v>3967.1324709659152</v>
      </c>
      <c r="O211" s="193">
        <v>3967.1324709659152</v>
      </c>
      <c r="P211" s="369">
        <v>4057.7754697384576</v>
      </c>
      <c r="Q211" s="350">
        <v>4057.7754697384576</v>
      </c>
      <c r="R211" s="181">
        <v>4057.7754697384576</v>
      </c>
      <c r="S211" s="181">
        <v>4103.7767916155226</v>
      </c>
      <c r="T211" s="193">
        <v>4103.7767916155226</v>
      </c>
      <c r="U211" s="369">
        <v>4103.7767916155226</v>
      </c>
      <c r="V211" s="350">
        <v>4103.7767916155226</v>
      </c>
      <c r="W211" s="181">
        <v>4103.7767916155226</v>
      </c>
      <c r="X211" s="181">
        <v>4103.7767916155226</v>
      </c>
      <c r="Y211" s="193">
        <v>4119.6959682749512</v>
      </c>
      <c r="Z211" s="369">
        <v>4119.6959682749512</v>
      </c>
      <c r="AA211" s="229"/>
      <c r="AB211"/>
      <c r="AC211"/>
      <c r="AD211"/>
      <c r="AE211"/>
      <c r="AF211" s="32"/>
    </row>
    <row r="212" spans="2:32" s="31" customFormat="1" ht="13.5" thickBot="1">
      <c r="B212" s="49" t="s">
        <v>202</v>
      </c>
      <c r="C212" s="206"/>
      <c r="D212" s="181">
        <v>3986.274138583869</v>
      </c>
      <c r="E212" s="181">
        <v>4066.951379763469</v>
      </c>
      <c r="F212" s="181">
        <v>4066.951379763469</v>
      </c>
      <c r="G212" s="181">
        <v>4066.951379763469</v>
      </c>
      <c r="H212" s="181">
        <v>4066.951379763469</v>
      </c>
      <c r="I212" s="181">
        <v>4101.8324607329841</v>
      </c>
      <c r="J212" s="193">
        <v>4144.7538627380518</v>
      </c>
      <c r="K212" s="369">
        <v>4187.438989376974</v>
      </c>
      <c r="L212" s="350">
        <v>4193.8835951583824</v>
      </c>
      <c r="M212" s="181">
        <v>4258.8956339014703</v>
      </c>
      <c r="N212" s="181">
        <v>4336.2246089189812</v>
      </c>
      <c r="O212" s="193">
        <v>4336.2246089189812</v>
      </c>
      <c r="P212" s="369">
        <v>4336.2246089189812</v>
      </c>
      <c r="Q212" s="350">
        <v>4367.2966047405507</v>
      </c>
      <c r="R212" s="181">
        <v>4393.478260869565</v>
      </c>
      <c r="S212" s="181">
        <v>4393.478260869565</v>
      </c>
      <c r="T212" s="193">
        <v>4442.5606419843152</v>
      </c>
      <c r="U212" s="369">
        <v>4488.2134965153837</v>
      </c>
      <c r="V212" s="350">
        <v>4488.2134965153837</v>
      </c>
      <c r="W212" s="181">
        <v>4488.2134965153837</v>
      </c>
      <c r="X212" s="181">
        <v>4488.2134965153837</v>
      </c>
      <c r="Y212" s="193">
        <v>4488.2134965153837</v>
      </c>
      <c r="Z212" s="369">
        <v>4488.2134965153837</v>
      </c>
      <c r="AA212" s="229"/>
      <c r="AB212"/>
      <c r="AC212"/>
      <c r="AD212"/>
      <c r="AE212"/>
      <c r="AF212" s="32"/>
    </row>
    <row r="213" spans="2:32" s="31" customFormat="1" ht="13.5" thickBot="1">
      <c r="B213" s="97" t="s">
        <v>203</v>
      </c>
      <c r="C213" s="198"/>
      <c r="D213" s="198">
        <v>2537.173142754189</v>
      </c>
      <c r="E213" s="199">
        <v>2689.2660672301345</v>
      </c>
      <c r="F213" s="199">
        <v>2701.9200758225688</v>
      </c>
      <c r="G213" s="199">
        <v>2729.7967365172062</v>
      </c>
      <c r="H213" s="199">
        <v>2766.6847127067531</v>
      </c>
      <c r="I213" s="199">
        <v>2837.5157058174891</v>
      </c>
      <c r="J213" s="200">
        <v>2918.8744972393743</v>
      </c>
      <c r="K213" s="372">
        <v>3113.9502222609526</v>
      </c>
      <c r="L213" s="373">
        <v>3181.7425483421366</v>
      </c>
      <c r="M213" s="199">
        <v>3263.2909564298193</v>
      </c>
      <c r="N213" s="199">
        <v>3318.1074990391298</v>
      </c>
      <c r="O213" s="200">
        <v>3348.2756656354036</v>
      </c>
      <c r="P213" s="372">
        <v>3384.8783758388072</v>
      </c>
      <c r="Q213" s="373">
        <v>3449.6604294462522</v>
      </c>
      <c r="R213" s="199">
        <v>3510.118426904728</v>
      </c>
      <c r="S213" s="199">
        <v>3539.8434831290692</v>
      </c>
      <c r="T213" s="200">
        <v>3604.4822403508242</v>
      </c>
      <c r="U213" s="372">
        <v>3666.2886767689074</v>
      </c>
      <c r="V213" s="373">
        <v>3690.0171990625117</v>
      </c>
      <c r="W213" s="199">
        <v>3698.0895045421698</v>
      </c>
      <c r="X213" s="199">
        <v>3706.1491590503551</v>
      </c>
      <c r="Y213" s="200">
        <v>3715.235657518072</v>
      </c>
      <c r="Z213" s="372">
        <v>3723.2692858866471</v>
      </c>
      <c r="AA213" s="229"/>
      <c r="AB213"/>
      <c r="AC213"/>
      <c r="AD213"/>
      <c r="AE213"/>
      <c r="AF213" s="32"/>
    </row>
    <row r="214" spans="2:32" s="31" customFormat="1">
      <c r="B214" s="38"/>
      <c r="C214" s="206"/>
      <c r="D214" s="206"/>
      <c r="E214" s="206"/>
      <c r="F214" s="206"/>
      <c r="G214" s="206"/>
      <c r="H214" s="206"/>
      <c r="I214" s="206"/>
      <c r="J214" s="207"/>
      <c r="K214" s="380"/>
      <c r="L214" s="381"/>
      <c r="M214" s="206"/>
      <c r="N214" s="206"/>
      <c r="O214" s="207"/>
      <c r="P214" s="380"/>
      <c r="Q214" s="381"/>
      <c r="R214" s="206"/>
      <c r="S214" s="206"/>
      <c r="T214" s="207"/>
      <c r="U214" s="380"/>
      <c r="V214" s="381"/>
      <c r="W214" s="206"/>
      <c r="X214" s="206"/>
      <c r="Y214" s="207"/>
      <c r="Z214" s="380"/>
      <c r="AA214" s="229"/>
      <c r="AB214"/>
      <c r="AC214"/>
      <c r="AD214"/>
      <c r="AE214"/>
      <c r="AF214" s="32"/>
    </row>
    <row r="215" spans="2:32" s="31" customFormat="1">
      <c r="B215" s="115" t="s">
        <v>204</v>
      </c>
      <c r="C215" s="206"/>
      <c r="D215" s="206"/>
      <c r="E215" s="206"/>
      <c r="F215" s="206"/>
      <c r="G215" s="206"/>
      <c r="H215" s="206"/>
      <c r="I215" s="206"/>
      <c r="J215" s="207"/>
      <c r="K215" s="380"/>
      <c r="L215" s="381"/>
      <c r="M215" s="206"/>
      <c r="N215" s="206"/>
      <c r="O215" s="207"/>
      <c r="P215" s="380"/>
      <c r="Q215" s="381"/>
      <c r="R215" s="206"/>
      <c r="S215" s="206"/>
      <c r="T215" s="207"/>
      <c r="U215" s="380"/>
      <c r="V215" s="381"/>
      <c r="W215" s="206"/>
      <c r="X215" s="206"/>
      <c r="Y215" s="207"/>
      <c r="Z215" s="380"/>
      <c r="AA215" s="229"/>
      <c r="AB215"/>
      <c r="AC215"/>
      <c r="AD215"/>
      <c r="AE215"/>
      <c r="AF215" s="32"/>
    </row>
    <row r="216" spans="2:32" s="31" customFormat="1">
      <c r="B216" s="49" t="s">
        <v>205</v>
      </c>
      <c r="C216" s="181"/>
      <c r="D216" s="181">
        <v>7013.92</v>
      </c>
      <c r="E216" s="181">
        <v>7927.6949999999997</v>
      </c>
      <c r="F216" s="181">
        <v>8195.8305</v>
      </c>
      <c r="G216" s="181">
        <v>8722.0905000000002</v>
      </c>
      <c r="H216" s="181">
        <v>9322.0846249999995</v>
      </c>
      <c r="I216" s="181">
        <v>9665.387839285715</v>
      </c>
      <c r="J216" s="193">
        <v>10008.691053571429</v>
      </c>
      <c r="K216" s="369">
        <v>10351.994267857142</v>
      </c>
      <c r="L216" s="350">
        <v>10727.293553571428</v>
      </c>
      <c r="M216" s="181">
        <v>11102.592839285713</v>
      </c>
      <c r="N216" s="181">
        <v>11477.892125000002</v>
      </c>
      <c r="O216" s="193">
        <v>11853.191410714286</v>
      </c>
      <c r="P216" s="369">
        <v>12228.490696428573</v>
      </c>
      <c r="Q216" s="350">
        <v>12603.789982142856</v>
      </c>
      <c r="R216" s="181">
        <v>12979.089267857144</v>
      </c>
      <c r="S216" s="181">
        <v>13354.388553571429</v>
      </c>
      <c r="T216" s="193">
        <v>13729.687839285714</v>
      </c>
      <c r="U216" s="369">
        <v>14104.987125</v>
      </c>
      <c r="V216" s="350">
        <v>14480.286410714287</v>
      </c>
      <c r="W216" s="181">
        <v>14569.081410714287</v>
      </c>
      <c r="X216" s="181">
        <v>14657.876410714285</v>
      </c>
      <c r="Y216" s="193">
        <v>14746.671410714287</v>
      </c>
      <c r="Z216" s="369">
        <v>14835.466410714287</v>
      </c>
      <c r="AA216" s="229"/>
      <c r="AB216"/>
      <c r="AC216"/>
      <c r="AD216"/>
      <c r="AE216"/>
      <c r="AF216" s="32"/>
    </row>
    <row r="217" spans="2:32" s="31" customFormat="1">
      <c r="B217" s="49" t="s">
        <v>206</v>
      </c>
      <c r="C217" s="181"/>
      <c r="D217" s="181">
        <v>389.37249999999995</v>
      </c>
      <c r="E217" s="181">
        <v>389.37249999999995</v>
      </c>
      <c r="F217" s="181">
        <v>389.37249999999995</v>
      </c>
      <c r="G217" s="181">
        <v>397.04499999999996</v>
      </c>
      <c r="H217" s="181">
        <v>397.04499999999996</v>
      </c>
      <c r="I217" s="181">
        <v>397.04499999999996</v>
      </c>
      <c r="J217" s="193">
        <v>397.04499999999996</v>
      </c>
      <c r="K217" s="369">
        <v>2100.7950000000001</v>
      </c>
      <c r="L217" s="350">
        <v>2100.7950000000001</v>
      </c>
      <c r="M217" s="181">
        <v>2100.7950000000001</v>
      </c>
      <c r="N217" s="181">
        <v>2100.7950000000001</v>
      </c>
      <c r="O217" s="193">
        <v>2100.7950000000001</v>
      </c>
      <c r="P217" s="369">
        <v>2148.7950000000001</v>
      </c>
      <c r="Q217" s="350">
        <v>2148.7950000000001</v>
      </c>
      <c r="R217" s="181">
        <v>2148.7950000000001</v>
      </c>
      <c r="S217" s="181">
        <v>2173.1549999999997</v>
      </c>
      <c r="T217" s="193">
        <v>2173.1549999999997</v>
      </c>
      <c r="U217" s="369">
        <v>2173.1549999999997</v>
      </c>
      <c r="V217" s="350">
        <v>2173.1549999999997</v>
      </c>
      <c r="W217" s="181">
        <v>2173.1549999999997</v>
      </c>
      <c r="X217" s="181">
        <v>2173.1549999999997</v>
      </c>
      <c r="Y217" s="193">
        <v>2181.585</v>
      </c>
      <c r="Z217" s="369">
        <v>2181.585</v>
      </c>
      <c r="AA217" s="229"/>
      <c r="AB217"/>
      <c r="AC217"/>
      <c r="AD217"/>
      <c r="AE217"/>
      <c r="AF217" s="32"/>
    </row>
    <row r="218" spans="2:32" s="31" customFormat="1" ht="13.5" thickBot="1">
      <c r="B218" s="49" t="s">
        <v>207</v>
      </c>
      <c r="C218" s="181"/>
      <c r="D218" s="181">
        <v>3158.3249999999998</v>
      </c>
      <c r="E218" s="181">
        <v>4642.4250000000002</v>
      </c>
      <c r="F218" s="181">
        <v>4642.4250000000002</v>
      </c>
      <c r="G218" s="181">
        <v>4642.4250000000002</v>
      </c>
      <c r="H218" s="181">
        <v>4642.4250000000002</v>
      </c>
      <c r="I218" s="181">
        <v>5092.4250000000002</v>
      </c>
      <c r="J218" s="193">
        <v>5767.4250000000002</v>
      </c>
      <c r="K218" s="369">
        <v>7292.4250000000002</v>
      </c>
      <c r="L218" s="350">
        <v>8142.4250000000002</v>
      </c>
      <c r="M218" s="181">
        <v>9120.4249999999993</v>
      </c>
      <c r="N218" s="181">
        <v>9286.0249999999996</v>
      </c>
      <c r="O218" s="193">
        <v>9286.0249999999996</v>
      </c>
      <c r="P218" s="369">
        <v>9286.0249999999996</v>
      </c>
      <c r="Q218" s="350">
        <v>10226.025</v>
      </c>
      <c r="R218" s="181">
        <v>11166.025</v>
      </c>
      <c r="S218" s="181">
        <v>11166.025</v>
      </c>
      <c r="T218" s="193">
        <v>12179.279999999999</v>
      </c>
      <c r="U218" s="369">
        <v>13202.08</v>
      </c>
      <c r="V218" s="350">
        <v>13202.08</v>
      </c>
      <c r="W218" s="181">
        <v>13202.08</v>
      </c>
      <c r="X218" s="181">
        <v>13202.08</v>
      </c>
      <c r="Y218" s="193">
        <v>13202.08</v>
      </c>
      <c r="Z218" s="369">
        <v>13202.08</v>
      </c>
      <c r="AA218" s="229"/>
      <c r="AB218"/>
      <c r="AC218"/>
      <c r="AD218"/>
      <c r="AE218"/>
      <c r="AF218" s="32"/>
    </row>
    <row r="219" spans="2:32" s="31" customFormat="1" ht="13.5" thickBot="1">
      <c r="B219" s="233" t="s">
        <v>208</v>
      </c>
      <c r="C219" s="234"/>
      <c r="D219" s="234">
        <v>10561.6175</v>
      </c>
      <c r="E219" s="234">
        <v>12959.4925</v>
      </c>
      <c r="F219" s="234">
        <v>13227.628000000001</v>
      </c>
      <c r="G219" s="234">
        <v>13761.5605</v>
      </c>
      <c r="H219" s="234">
        <v>14361.554625000001</v>
      </c>
      <c r="I219" s="234">
        <v>15154.857839285716</v>
      </c>
      <c r="J219" s="420">
        <v>16173.161053571428</v>
      </c>
      <c r="K219" s="421">
        <v>19745.214267857144</v>
      </c>
      <c r="L219" s="422">
        <v>20970.513553571429</v>
      </c>
      <c r="M219" s="234">
        <v>22323.812839285711</v>
      </c>
      <c r="N219" s="234">
        <v>22864.712125000002</v>
      </c>
      <c r="O219" s="420">
        <v>23240.011410714287</v>
      </c>
      <c r="P219" s="421">
        <v>23663.310696428573</v>
      </c>
      <c r="Q219" s="422">
        <v>24978.609982142858</v>
      </c>
      <c r="R219" s="234">
        <v>26293.909267857143</v>
      </c>
      <c r="S219" s="234">
        <v>26693.568553571429</v>
      </c>
      <c r="T219" s="420">
        <v>28082.122839285712</v>
      </c>
      <c r="U219" s="421">
        <v>29480.222125</v>
      </c>
      <c r="V219" s="422">
        <v>29855.521410714289</v>
      </c>
      <c r="W219" s="234">
        <v>29944.316410714287</v>
      </c>
      <c r="X219" s="234">
        <v>30033.111410714286</v>
      </c>
      <c r="Y219" s="420">
        <v>30130.336410714284</v>
      </c>
      <c r="Z219" s="421">
        <v>30219.13141071429</v>
      </c>
      <c r="AA219" s="229"/>
      <c r="AB219"/>
      <c r="AC219"/>
      <c r="AD219"/>
      <c r="AE219"/>
      <c r="AF219" s="32"/>
    </row>
    <row r="220" spans="2:32" s="31" customFormat="1">
      <c r="B220" s="38"/>
      <c r="C220" s="220"/>
      <c r="D220" s="220"/>
      <c r="E220" s="220"/>
      <c r="F220" s="220"/>
      <c r="G220" s="220"/>
      <c r="H220" s="220"/>
      <c r="I220" s="220"/>
      <c r="J220" s="405"/>
      <c r="K220" s="406"/>
      <c r="L220" s="407"/>
      <c r="M220" s="220"/>
      <c r="N220" s="220"/>
      <c r="O220" s="405"/>
      <c r="P220" s="408"/>
      <c r="Q220" s="407"/>
      <c r="R220" s="220"/>
      <c r="S220" s="220"/>
      <c r="T220" s="405"/>
      <c r="U220" s="408"/>
      <c r="V220" s="407"/>
      <c r="W220" s="220"/>
      <c r="X220" s="220"/>
      <c r="Y220" s="405"/>
      <c r="Z220" s="406">
        <v>36251</v>
      </c>
      <c r="AA220" s="229"/>
      <c r="AB220"/>
      <c r="AC220"/>
      <c r="AD220"/>
      <c r="AE220"/>
      <c r="AF220" s="32"/>
    </row>
    <row r="221" spans="2:32" s="31" customFormat="1">
      <c r="B221" s="115" t="s">
        <v>209</v>
      </c>
      <c r="C221" s="220"/>
      <c r="D221" s="220"/>
      <c r="E221" s="220"/>
      <c r="F221" s="220"/>
      <c r="G221" s="220"/>
      <c r="H221" s="220"/>
      <c r="I221" s="220"/>
      <c r="J221" s="405"/>
      <c r="K221" s="406"/>
      <c r="L221" s="407"/>
      <c r="M221" s="220"/>
      <c r="N221" s="220"/>
      <c r="O221" s="405"/>
      <c r="P221" s="408"/>
      <c r="Q221" s="407"/>
      <c r="R221" s="220"/>
      <c r="S221" s="220"/>
      <c r="T221" s="405"/>
      <c r="U221" s="408"/>
      <c r="V221" s="407"/>
      <c r="W221" s="220"/>
      <c r="X221" s="220"/>
      <c r="Y221" s="405"/>
      <c r="Z221" s="406">
        <v>42032</v>
      </c>
      <c r="AA221" s="229"/>
      <c r="AB221"/>
      <c r="AC221"/>
      <c r="AD221"/>
      <c r="AE221"/>
      <c r="AF221" s="32"/>
    </row>
    <row r="222" spans="2:32" s="31" customFormat="1" ht="13.5" thickBot="1">
      <c r="B222" s="118" t="s">
        <v>210</v>
      </c>
      <c r="C222" s="222"/>
      <c r="D222" s="222"/>
      <c r="E222" s="222"/>
      <c r="F222" s="222">
        <v>33299.192242338722</v>
      </c>
      <c r="G222" s="222">
        <v>33397.925486456232</v>
      </c>
      <c r="H222" s="222">
        <v>33556.509666599813</v>
      </c>
      <c r="I222" s="222">
        <v>33722.118953751211</v>
      </c>
      <c r="J222" s="423">
        <v>33900.678565415146</v>
      </c>
      <c r="K222" s="424">
        <v>34059.266493877753</v>
      </c>
      <c r="L222" s="425">
        <v>34311.523086892346</v>
      </c>
      <c r="M222" s="222">
        <v>34624.364014995212</v>
      </c>
      <c r="N222" s="222">
        <v>34833.71480596358</v>
      </c>
      <c r="O222" s="423">
        <v>34989.709177535813</v>
      </c>
      <c r="P222" s="424">
        <v>35104.921960860323</v>
      </c>
      <c r="Q222" s="425">
        <v>35244.061619219312</v>
      </c>
      <c r="R222" s="222">
        <v>35349.967439535161</v>
      </c>
      <c r="S222" s="222">
        <v>35418.746872989788</v>
      </c>
      <c r="T222" s="423">
        <v>35473.675860002615</v>
      </c>
      <c r="U222" s="424">
        <v>35592.610825065647</v>
      </c>
      <c r="V222" s="425">
        <v>35621.643622309413</v>
      </c>
      <c r="W222" s="222">
        <v>35652.561423285675</v>
      </c>
      <c r="X222" s="222">
        <v>35622.353800018216</v>
      </c>
      <c r="Y222" s="423">
        <v>35578.890286421272</v>
      </c>
      <c r="Z222" s="424">
        <v>35641.777341419533</v>
      </c>
      <c r="AA222" s="166"/>
      <c r="AB222"/>
      <c r="AC222"/>
      <c r="AD222"/>
      <c r="AE222"/>
      <c r="AF222" s="32"/>
    </row>
    <row r="223" spans="2:32" s="31" customFormat="1" ht="13.5" thickBot="1">
      <c r="B223" s="119" t="s">
        <v>118</v>
      </c>
      <c r="C223" s="223"/>
      <c r="D223" s="223"/>
      <c r="E223" s="223"/>
      <c r="F223" s="224">
        <v>0.39723570180725132</v>
      </c>
      <c r="G223" s="223">
        <v>0.41204836227270125</v>
      </c>
      <c r="H223" s="223">
        <v>0.42798118063198487</v>
      </c>
      <c r="I223" s="223">
        <v>0.44940407985838943</v>
      </c>
      <c r="J223" s="411">
        <v>0.47707484740647615</v>
      </c>
      <c r="K223" s="836">
        <v>0.57973104827158861</v>
      </c>
      <c r="L223" s="412">
        <v>0.61117990887389562</v>
      </c>
      <c r="M223" s="223">
        <v>0.64474289923759043</v>
      </c>
      <c r="N223" s="223">
        <v>0.65639603046544814</v>
      </c>
      <c r="O223" s="411">
        <v>0.66419561513917647</v>
      </c>
      <c r="P223" s="413">
        <v>0.67407387268405283</v>
      </c>
      <c r="Q223" s="412">
        <v>0.70873244553974757</v>
      </c>
      <c r="R223" s="223">
        <v>0.74381707176483036</v>
      </c>
      <c r="S223" s="223">
        <v>0.75365649296666259</v>
      </c>
      <c r="T223" s="411">
        <v>0.79163272929797923</v>
      </c>
      <c r="U223" s="413">
        <v>0.82826804332765958</v>
      </c>
      <c r="V223" s="414">
        <v>0.83812868735838264</v>
      </c>
      <c r="W223" s="224">
        <v>0.83989242891134397</v>
      </c>
      <c r="X223" s="224">
        <v>0.84309733094332828</v>
      </c>
      <c r="Y223" s="415">
        <v>0.84685992643827801</v>
      </c>
      <c r="Z223" s="413">
        <v>0.84785702803873497</v>
      </c>
      <c r="AA223" s="426"/>
      <c r="AB223"/>
      <c r="AC223"/>
      <c r="AD223"/>
      <c r="AE223"/>
      <c r="AF223" s="32"/>
    </row>
    <row r="224" spans="2:32" s="31" customFormat="1" ht="13.5" thickBot="1">
      <c r="B224" s="120" t="s">
        <v>211</v>
      </c>
      <c r="C224" s="225"/>
      <c r="D224" s="226"/>
      <c r="E224" s="226"/>
      <c r="F224" s="226">
        <v>34229.777003517243</v>
      </c>
      <c r="G224" s="226">
        <v>34468.874363895964</v>
      </c>
      <c r="H224" s="226">
        <v>34813.807537372282</v>
      </c>
      <c r="I224" s="226">
        <v>35219.782876881254</v>
      </c>
      <c r="J224" s="235">
        <v>35556.351084949711</v>
      </c>
      <c r="K224" s="368">
        <v>35892.606922868843</v>
      </c>
      <c r="L224" s="427">
        <v>36373.975326642969</v>
      </c>
      <c r="M224" s="226">
        <v>36998.95647981271</v>
      </c>
      <c r="N224" s="226">
        <v>37485.247676533851</v>
      </c>
      <c r="O224" s="235">
        <v>38097.782005095069</v>
      </c>
      <c r="P224" s="368">
        <v>38740.816860439314</v>
      </c>
      <c r="Q224" s="427">
        <v>39451.196924792559</v>
      </c>
      <c r="R224" s="226">
        <v>40028.404328384</v>
      </c>
      <c r="S224" s="226">
        <v>40371.644893136159</v>
      </c>
      <c r="T224" s="235">
        <v>40634.869148591126</v>
      </c>
      <c r="U224" s="368">
        <v>41180.176775339656</v>
      </c>
      <c r="V224" s="427">
        <v>41435.79096477032</v>
      </c>
      <c r="W224" s="226">
        <v>41723.553084568834</v>
      </c>
      <c r="X224" s="226">
        <v>41898.391117281564</v>
      </c>
      <c r="Y224" s="235">
        <v>42151.560013483439</v>
      </c>
      <c r="Z224" s="368">
        <v>42472.394480405375</v>
      </c>
      <c r="AA224" s="426"/>
      <c r="AB224"/>
      <c r="AC224"/>
      <c r="AD224"/>
      <c r="AE224"/>
      <c r="AF224" s="32"/>
    </row>
    <row r="225" spans="2:32" s="31" customFormat="1" ht="13.5" thickBot="1">
      <c r="B225" s="119" t="s">
        <v>119</v>
      </c>
      <c r="C225" s="223"/>
      <c r="D225" s="223"/>
      <c r="E225" s="223"/>
      <c r="F225" s="223">
        <v>0.38643628904274807</v>
      </c>
      <c r="G225" s="223">
        <v>0.39924600828898527</v>
      </c>
      <c r="H225" s="223">
        <v>0.41252467457295533</v>
      </c>
      <c r="I225" s="223">
        <v>0.4302939030675732</v>
      </c>
      <c r="J225" s="411">
        <v>0.45485997747438156</v>
      </c>
      <c r="K225" s="836">
        <v>0.55011925743617562</v>
      </c>
      <c r="L225" s="412">
        <v>0.57652520422234643</v>
      </c>
      <c r="M225" s="223">
        <v>0.60336330975891117</v>
      </c>
      <c r="N225" s="223">
        <v>0.60996561426786422</v>
      </c>
      <c r="O225" s="411">
        <v>0.61000956453596822</v>
      </c>
      <c r="P225" s="416">
        <v>0.61081083503411282</v>
      </c>
      <c r="Q225" s="412">
        <v>0.63315214566900491</v>
      </c>
      <c r="R225" s="223">
        <v>0.65688127491038217</v>
      </c>
      <c r="S225" s="223">
        <v>0.6611959612799867</v>
      </c>
      <c r="T225" s="411">
        <v>0.69108436738399992</v>
      </c>
      <c r="U225" s="416">
        <v>0.71588381676530199</v>
      </c>
      <c r="V225" s="412">
        <v>0.7205249547691307</v>
      </c>
      <c r="W225" s="223">
        <v>0.71768375885966873</v>
      </c>
      <c r="X225" s="223">
        <v>0.7168082260401335</v>
      </c>
      <c r="Y225" s="411">
        <v>0.71480952071705517</v>
      </c>
      <c r="Z225" s="416">
        <v>0.71150053535728663</v>
      </c>
      <c r="AA225" s="236"/>
      <c r="AB225"/>
      <c r="AC225"/>
      <c r="AD225"/>
      <c r="AE225"/>
      <c r="AF225" s="32"/>
    </row>
    <row r="226" spans="2:32" s="32" customFormat="1">
      <c r="B226" s="36"/>
      <c r="C226" s="227"/>
      <c r="D226" s="227"/>
      <c r="E226" s="227"/>
      <c r="F226" s="227"/>
      <c r="G226" s="227"/>
      <c r="H226" s="227"/>
      <c r="I226" s="227"/>
      <c r="J226" s="227"/>
      <c r="K226" s="230"/>
      <c r="L226" s="227"/>
      <c r="M226" s="227"/>
      <c r="N226" s="227"/>
      <c r="O226" s="227"/>
      <c r="P226" s="227"/>
      <c r="Q226" s="227"/>
      <c r="R226" s="227"/>
      <c r="S226" s="227"/>
      <c r="T226" s="227"/>
      <c r="U226" s="227"/>
      <c r="V226" s="227"/>
      <c r="W226" s="227"/>
      <c r="X226" s="227"/>
      <c r="Y226" s="227"/>
      <c r="Z226" s="227"/>
      <c r="AA226" s="178"/>
      <c r="AB226" s="229"/>
      <c r="AC226" s="229"/>
      <c r="AD226" s="229"/>
      <c r="AE226" s="237"/>
    </row>
    <row r="227" spans="2:32" s="32" customFormat="1">
      <c r="B227" s="36"/>
      <c r="C227" s="227"/>
      <c r="D227" s="227"/>
      <c r="E227" s="227"/>
      <c r="F227" s="227"/>
      <c r="G227" s="227"/>
      <c r="H227" s="227"/>
      <c r="I227" s="227"/>
      <c r="J227" s="227"/>
      <c r="K227" s="228"/>
      <c r="L227" s="227"/>
      <c r="M227" s="227"/>
      <c r="N227" s="227"/>
      <c r="O227" s="227"/>
      <c r="P227" s="227"/>
      <c r="Q227" s="227"/>
      <c r="R227" s="227"/>
      <c r="S227" s="227"/>
      <c r="T227" s="227"/>
      <c r="U227" s="227"/>
      <c r="V227" s="227"/>
      <c r="W227" s="227"/>
      <c r="X227" s="227"/>
      <c r="Y227" s="227"/>
      <c r="Z227" s="227"/>
      <c r="AA227" s="229"/>
      <c r="AB227" s="229"/>
      <c r="AC227" s="229"/>
      <c r="AD227" s="229"/>
      <c r="AE227" s="237"/>
    </row>
    <row r="228" spans="2:32" s="74" customFormat="1">
      <c r="B228" s="35"/>
      <c r="C228" s="428" t="s">
        <v>481</v>
      </c>
      <c r="D228" s="211"/>
      <c r="E228" s="211"/>
      <c r="F228" s="211"/>
      <c r="G228" s="211"/>
      <c r="H228" s="211"/>
      <c r="I228" s="211"/>
      <c r="J228" s="211"/>
      <c r="K228" s="211"/>
      <c r="L228" s="211"/>
      <c r="M228" s="211"/>
      <c r="N228" s="211"/>
      <c r="O228" s="211"/>
      <c r="P228" s="211"/>
      <c r="Q228" s="428" t="s">
        <v>482</v>
      </c>
      <c r="R228" s="211"/>
      <c r="S228" s="211"/>
      <c r="T228" s="211"/>
      <c r="U228" s="211"/>
      <c r="V228" s="211"/>
      <c r="W228" s="211"/>
      <c r="X228" s="211"/>
      <c r="Y228" s="211"/>
      <c r="Z228" s="211"/>
      <c r="AA228" s="429"/>
      <c r="AB228" s="204"/>
      <c r="AC228" s="204"/>
      <c r="AD228" s="204"/>
      <c r="AE228" s="211"/>
    </row>
    <row r="229" spans="2:32" s="32" customFormat="1">
      <c r="B229" s="35"/>
      <c r="C229" s="178"/>
      <c r="D229" s="178"/>
      <c r="E229" s="178"/>
      <c r="F229" s="178"/>
      <c r="G229" s="178"/>
      <c r="H229" s="178"/>
      <c r="I229" s="178"/>
      <c r="J229" s="178"/>
      <c r="K229" s="178"/>
      <c r="L229" s="178"/>
      <c r="M229" s="178"/>
      <c r="N229" s="178"/>
      <c r="O229" s="178"/>
      <c r="P229" s="178"/>
      <c r="Q229" s="178"/>
      <c r="R229" s="178"/>
      <c r="S229" s="178"/>
      <c r="T229" s="178"/>
      <c r="U229" s="178"/>
      <c r="V229" s="178"/>
      <c r="W229" s="178"/>
      <c r="X229" s="178"/>
      <c r="Y229" s="178"/>
      <c r="Z229" s="178"/>
      <c r="AA229" s="178"/>
      <c r="AB229" s="178"/>
      <c r="AC229" s="178"/>
      <c r="AD229" s="237"/>
      <c r="AE229" s="237"/>
    </row>
    <row r="230" spans="2:32" s="32" customFormat="1">
      <c r="B230" s="35"/>
      <c r="C230" s="178"/>
      <c r="D230" s="178"/>
      <c r="E230" s="178"/>
      <c r="F230" s="178"/>
      <c r="G230" s="178"/>
      <c r="H230" s="178"/>
      <c r="I230" s="178"/>
      <c r="J230" s="178"/>
      <c r="K230" s="178"/>
      <c r="L230" s="178"/>
      <c r="M230" s="178"/>
      <c r="N230" s="178"/>
      <c r="O230" s="178"/>
      <c r="P230" s="178"/>
      <c r="Q230" s="178"/>
      <c r="R230" s="178"/>
      <c r="S230" s="178"/>
      <c r="T230" s="178"/>
      <c r="U230" s="178"/>
      <c r="V230" s="178"/>
      <c r="W230" s="178"/>
      <c r="X230" s="178"/>
      <c r="Y230" s="178"/>
      <c r="Z230" s="178"/>
      <c r="AA230" s="178"/>
      <c r="AB230" s="178"/>
      <c r="AC230" s="178"/>
      <c r="AD230" s="237"/>
      <c r="AE230" s="237"/>
    </row>
    <row r="231" spans="2:32" s="32" customFormat="1">
      <c r="B231" s="35"/>
      <c r="C231" s="178"/>
      <c r="D231" s="178"/>
      <c r="E231" s="178"/>
      <c r="F231" s="178"/>
      <c r="G231" s="178"/>
      <c r="H231" s="178"/>
      <c r="I231" s="178"/>
      <c r="J231" s="178"/>
      <c r="K231" s="178"/>
      <c r="L231" s="178"/>
      <c r="M231" s="178"/>
      <c r="N231" s="178"/>
      <c r="O231" s="178"/>
      <c r="P231" s="178"/>
      <c r="Q231" s="178"/>
      <c r="R231" s="178"/>
      <c r="S231" s="178"/>
      <c r="T231" s="178"/>
      <c r="U231" s="178"/>
      <c r="V231" s="178"/>
      <c r="W231" s="178"/>
      <c r="X231" s="178"/>
      <c r="Y231" s="178"/>
      <c r="Z231" s="178"/>
      <c r="AA231" s="178"/>
      <c r="AB231" s="178"/>
      <c r="AC231" s="178"/>
      <c r="AD231" s="237"/>
      <c r="AE231" s="237"/>
    </row>
    <row r="232" spans="2:32" s="32" customFormat="1">
      <c r="B232" s="35"/>
      <c r="C232" s="178"/>
      <c r="D232" s="178"/>
      <c r="E232" s="178"/>
      <c r="F232" s="178"/>
      <c r="G232" s="178"/>
      <c r="H232" s="178"/>
      <c r="I232" s="178"/>
      <c r="J232" s="178"/>
      <c r="K232" s="178"/>
      <c r="L232" s="178"/>
      <c r="M232" s="178"/>
      <c r="N232" s="178"/>
      <c r="O232" s="178"/>
      <c r="P232" s="178"/>
      <c r="Q232" s="178"/>
      <c r="R232" s="178"/>
      <c r="S232" s="178"/>
      <c r="T232" s="178"/>
      <c r="U232" s="178"/>
      <c r="V232" s="178"/>
      <c r="W232" s="178"/>
      <c r="X232" s="178"/>
      <c r="Y232" s="178"/>
      <c r="Z232" s="178"/>
      <c r="AA232" s="178"/>
      <c r="AB232" s="178"/>
      <c r="AC232" s="178"/>
      <c r="AD232" s="237"/>
      <c r="AE232" s="237"/>
    </row>
    <row r="233" spans="2:32" s="32" customFormat="1">
      <c r="B233" s="35"/>
      <c r="C233" s="178"/>
      <c r="D233" s="178"/>
      <c r="E233" s="178"/>
      <c r="F233" s="178"/>
      <c r="G233" s="178"/>
      <c r="H233" s="178"/>
      <c r="I233" s="178"/>
      <c r="J233" s="178"/>
      <c r="K233" s="178"/>
      <c r="L233" s="178"/>
      <c r="M233" s="178"/>
      <c r="N233" s="178"/>
      <c r="O233" s="178"/>
      <c r="P233" s="178"/>
      <c r="Q233" s="178"/>
      <c r="R233" s="178"/>
      <c r="S233" s="178"/>
      <c r="T233" s="178"/>
      <c r="U233" s="178"/>
      <c r="V233" s="178"/>
      <c r="W233" s="178"/>
      <c r="X233" s="178"/>
      <c r="Y233" s="178"/>
      <c r="Z233" s="178"/>
      <c r="AA233" s="178"/>
      <c r="AB233" s="178"/>
      <c r="AC233" s="178"/>
      <c r="AD233" s="237"/>
      <c r="AE233" s="237"/>
    </row>
    <row r="234" spans="2:32" s="32" customFormat="1">
      <c r="B234" s="35"/>
      <c r="C234" s="178"/>
      <c r="D234" s="178"/>
      <c r="E234" s="178"/>
      <c r="F234" s="178"/>
      <c r="G234" s="178"/>
      <c r="H234" s="178"/>
      <c r="I234" s="178"/>
      <c r="J234" s="178"/>
      <c r="K234" s="178"/>
      <c r="L234" s="178"/>
      <c r="M234" s="178"/>
      <c r="N234" s="178"/>
      <c r="O234" s="178"/>
      <c r="P234" s="178"/>
      <c r="Q234" s="178"/>
      <c r="R234" s="178"/>
      <c r="S234" s="178"/>
      <c r="T234" s="178"/>
      <c r="U234" s="178"/>
      <c r="V234" s="178"/>
      <c r="W234" s="178"/>
      <c r="X234" s="178"/>
      <c r="Y234" s="178"/>
      <c r="Z234" s="178"/>
      <c r="AA234" s="178"/>
      <c r="AB234" s="178"/>
      <c r="AC234" s="178"/>
      <c r="AD234" s="237"/>
      <c r="AE234" s="237"/>
    </row>
    <row r="235" spans="2:32" s="32" customFormat="1">
      <c r="B235" s="35"/>
      <c r="C235" s="178"/>
      <c r="D235" s="178"/>
      <c r="E235" s="178"/>
      <c r="F235" s="178"/>
      <c r="G235" s="178"/>
      <c r="H235" s="178"/>
      <c r="I235" s="178"/>
      <c r="J235" s="178"/>
      <c r="K235" s="178"/>
      <c r="L235" s="178"/>
      <c r="M235" s="178"/>
      <c r="N235" s="178"/>
      <c r="O235" s="178"/>
      <c r="P235" s="178"/>
      <c r="Q235" s="178"/>
      <c r="R235" s="178"/>
      <c r="S235" s="178"/>
      <c r="T235" s="178"/>
      <c r="U235" s="178"/>
      <c r="V235" s="178"/>
      <c r="W235" s="178"/>
      <c r="X235" s="178"/>
      <c r="Y235" s="178"/>
      <c r="Z235" s="178"/>
      <c r="AA235" s="178"/>
      <c r="AB235" s="178"/>
      <c r="AC235" s="178"/>
      <c r="AD235" s="237"/>
      <c r="AE235" s="237"/>
    </row>
    <row r="236" spans="2:32" s="32" customFormat="1">
      <c r="B236" s="35"/>
      <c r="C236" s="178"/>
      <c r="D236" s="178"/>
      <c r="E236" s="178"/>
      <c r="F236" s="178"/>
      <c r="G236" s="178"/>
      <c r="H236" s="178"/>
      <c r="I236" s="178"/>
      <c r="J236" s="178"/>
      <c r="K236" s="178"/>
      <c r="L236" s="178"/>
      <c r="M236" s="178"/>
      <c r="N236" s="178"/>
      <c r="O236" s="178"/>
      <c r="P236" s="178"/>
      <c r="Q236" s="178"/>
      <c r="R236" s="178"/>
      <c r="S236" s="178"/>
      <c r="T236" s="178"/>
      <c r="U236" s="178"/>
      <c r="V236" s="178"/>
      <c r="W236" s="178"/>
      <c r="X236" s="178"/>
      <c r="Y236" s="178"/>
      <c r="Z236" s="178"/>
      <c r="AA236" s="178"/>
      <c r="AB236" s="178"/>
      <c r="AC236" s="178"/>
      <c r="AD236" s="237"/>
      <c r="AE236" s="237"/>
    </row>
    <row r="237" spans="2:32" s="32" customFormat="1">
      <c r="B237" s="35"/>
      <c r="C237" s="178"/>
      <c r="D237" s="178"/>
      <c r="E237" s="178"/>
      <c r="F237" s="178"/>
      <c r="G237" s="178"/>
      <c r="H237" s="178"/>
      <c r="I237" s="178"/>
      <c r="J237" s="178"/>
      <c r="K237" s="178"/>
      <c r="L237" s="178"/>
      <c r="M237" s="178"/>
      <c r="N237" s="178"/>
      <c r="O237" s="178"/>
      <c r="P237" s="178"/>
      <c r="Q237" s="178"/>
      <c r="R237" s="178"/>
      <c r="S237" s="178"/>
      <c r="T237" s="178"/>
      <c r="U237" s="178"/>
      <c r="V237" s="178"/>
      <c r="W237" s="178"/>
      <c r="X237" s="178"/>
      <c r="Y237" s="178"/>
      <c r="Z237" s="178"/>
      <c r="AA237" s="178"/>
      <c r="AB237" s="178"/>
      <c r="AC237" s="178"/>
      <c r="AD237" s="237"/>
      <c r="AE237" s="237"/>
    </row>
    <row r="238" spans="2:32" s="32" customFormat="1">
      <c r="B238" s="35"/>
      <c r="C238" s="178"/>
      <c r="D238" s="178"/>
      <c r="E238" s="178"/>
      <c r="F238" s="178"/>
      <c r="G238" s="178"/>
      <c r="H238" s="178"/>
      <c r="I238" s="178"/>
      <c r="J238" s="178"/>
      <c r="K238" s="178"/>
      <c r="L238" s="178"/>
      <c r="M238" s="178"/>
      <c r="N238" s="178"/>
      <c r="O238" s="178"/>
      <c r="P238" s="178"/>
      <c r="Q238" s="178"/>
      <c r="R238" s="178"/>
      <c r="S238" s="178"/>
      <c r="T238" s="178"/>
      <c r="U238" s="178"/>
      <c r="V238" s="178"/>
      <c r="W238" s="178"/>
      <c r="X238" s="178"/>
      <c r="Y238" s="178"/>
      <c r="Z238" s="178"/>
      <c r="AA238" s="178"/>
      <c r="AB238" s="178"/>
      <c r="AC238" s="178"/>
      <c r="AD238" s="237"/>
      <c r="AE238" s="237"/>
    </row>
    <row r="239" spans="2:32" s="32" customFormat="1">
      <c r="B239" s="35"/>
      <c r="C239" s="178"/>
      <c r="D239" s="178"/>
      <c r="E239" s="178"/>
      <c r="F239" s="178"/>
      <c r="G239" s="178"/>
      <c r="H239" s="178"/>
      <c r="I239" s="178"/>
      <c r="J239" s="178"/>
      <c r="K239" s="178"/>
      <c r="L239" s="178"/>
      <c r="M239" s="178"/>
      <c r="N239" s="178"/>
      <c r="O239" s="178"/>
      <c r="P239" s="178"/>
      <c r="Q239" s="178"/>
      <c r="R239" s="178"/>
      <c r="S239" s="178"/>
      <c r="T239" s="178"/>
      <c r="U239" s="178"/>
      <c r="V239" s="178"/>
      <c r="W239" s="178"/>
      <c r="X239" s="178"/>
      <c r="Y239" s="178"/>
      <c r="Z239" s="178"/>
      <c r="AA239" s="178"/>
      <c r="AB239" s="178"/>
      <c r="AC239" s="178"/>
      <c r="AD239" s="237"/>
      <c r="AE239" s="237"/>
    </row>
    <row r="240" spans="2:32" s="32" customFormat="1">
      <c r="B240" s="35"/>
      <c r="C240" s="178"/>
      <c r="D240" s="178"/>
      <c r="E240" s="178"/>
      <c r="F240" s="178"/>
      <c r="G240" s="178"/>
      <c r="H240" s="178"/>
      <c r="I240" s="178"/>
      <c r="J240" s="178"/>
      <c r="K240" s="178"/>
      <c r="L240" s="178"/>
      <c r="M240" s="178"/>
      <c r="N240" s="178"/>
      <c r="O240" s="178"/>
      <c r="P240" s="178"/>
      <c r="Q240" s="178"/>
      <c r="R240" s="178"/>
      <c r="S240" s="178"/>
      <c r="T240" s="178"/>
      <c r="U240" s="178"/>
      <c r="V240" s="178"/>
      <c r="W240" s="178"/>
      <c r="X240" s="178"/>
      <c r="Y240" s="178"/>
      <c r="Z240" s="178"/>
      <c r="AA240" s="178"/>
      <c r="AB240" s="178"/>
      <c r="AC240" s="178"/>
      <c r="AD240" s="237"/>
      <c r="AE240" s="237"/>
    </row>
    <row r="241" spans="2:31" s="32" customFormat="1">
      <c r="B241" s="35"/>
      <c r="C241" s="178"/>
      <c r="D241" s="178"/>
      <c r="E241" s="178"/>
      <c r="F241" s="178"/>
      <c r="G241" s="178"/>
      <c r="H241" s="178"/>
      <c r="I241" s="178"/>
      <c r="J241" s="178"/>
      <c r="K241" s="178"/>
      <c r="L241" s="178"/>
      <c r="M241" s="178"/>
      <c r="N241" s="178"/>
      <c r="O241" s="178"/>
      <c r="P241" s="178"/>
      <c r="Q241" s="178"/>
      <c r="R241" s="178"/>
      <c r="S241" s="178"/>
      <c r="T241" s="178"/>
      <c r="U241" s="178"/>
      <c r="V241" s="178"/>
      <c r="W241" s="178"/>
      <c r="X241" s="178"/>
      <c r="Y241" s="178"/>
      <c r="Z241" s="178"/>
      <c r="AA241" s="178"/>
      <c r="AB241" s="178"/>
      <c r="AC241" s="178"/>
      <c r="AD241" s="237"/>
      <c r="AE241" s="237"/>
    </row>
    <row r="242" spans="2:31" s="32" customFormat="1">
      <c r="B242" s="35"/>
      <c r="C242" s="178"/>
      <c r="D242" s="178"/>
      <c r="E242" s="178"/>
      <c r="F242" s="178"/>
      <c r="G242" s="178"/>
      <c r="H242" s="178"/>
      <c r="I242" s="178"/>
      <c r="J242" s="178"/>
      <c r="K242" s="178"/>
      <c r="L242" s="178"/>
      <c r="M242" s="178"/>
      <c r="N242" s="178"/>
      <c r="O242" s="178"/>
      <c r="P242" s="178"/>
      <c r="Q242" s="178"/>
      <c r="R242" s="178"/>
      <c r="S242" s="178"/>
      <c r="T242" s="178"/>
      <c r="U242" s="178"/>
      <c r="V242" s="178"/>
      <c r="W242" s="178"/>
      <c r="X242" s="178"/>
      <c r="Y242" s="178"/>
      <c r="Z242" s="178"/>
      <c r="AA242" s="178"/>
      <c r="AB242" s="178"/>
      <c r="AC242" s="178"/>
      <c r="AD242" s="237"/>
      <c r="AE242" s="237"/>
    </row>
    <row r="243" spans="2:31" s="32" customFormat="1">
      <c r="B243" s="35" t="s">
        <v>13</v>
      </c>
      <c r="C243" s="178"/>
      <c r="D243" s="178"/>
      <c r="E243" s="178"/>
      <c r="F243" s="178"/>
      <c r="G243" s="178"/>
      <c r="H243" s="178"/>
      <c r="I243" s="178"/>
      <c r="J243" s="178"/>
      <c r="K243" s="178"/>
      <c r="L243" s="178"/>
      <c r="M243" s="178"/>
      <c r="N243" s="178"/>
      <c r="O243" s="178"/>
      <c r="P243" s="178"/>
      <c r="Q243" s="178"/>
      <c r="R243" s="178"/>
      <c r="S243" s="178"/>
      <c r="T243" s="178"/>
      <c r="U243" s="178"/>
      <c r="V243" s="178"/>
      <c r="W243" s="178"/>
      <c r="X243" s="178"/>
      <c r="Y243" s="178"/>
      <c r="Z243" s="178"/>
      <c r="AA243" s="178"/>
      <c r="AB243" s="178"/>
      <c r="AC243" s="178"/>
      <c r="AD243" s="237"/>
      <c r="AE243" s="237"/>
    </row>
    <row r="244" spans="2:31" s="32" customFormat="1">
      <c r="B244" s="35"/>
      <c r="C244" s="178"/>
      <c r="D244" s="178"/>
      <c r="E244" s="178"/>
      <c r="F244" s="178"/>
      <c r="G244" s="178"/>
      <c r="H244" s="178"/>
      <c r="I244" s="178"/>
      <c r="J244" s="178"/>
      <c r="K244" s="178"/>
      <c r="L244" s="178"/>
      <c r="M244" s="178"/>
      <c r="N244" s="178"/>
      <c r="O244" s="178"/>
      <c r="P244" s="178"/>
      <c r="Q244" s="178"/>
      <c r="R244" s="178"/>
      <c r="S244" s="178"/>
      <c r="T244" s="178"/>
      <c r="U244" s="178"/>
      <c r="V244" s="178"/>
      <c r="W244" s="178"/>
      <c r="X244" s="178"/>
      <c r="Y244" s="178"/>
      <c r="Z244" s="178"/>
      <c r="AA244" s="178"/>
      <c r="AB244" s="178"/>
      <c r="AC244" s="178"/>
      <c r="AD244" s="237"/>
      <c r="AE244" s="237"/>
    </row>
    <row r="245" spans="2:31" s="32" customFormat="1">
      <c r="B245" s="35"/>
      <c r="C245" s="178"/>
      <c r="D245" s="178"/>
      <c r="E245" s="178"/>
      <c r="F245" s="178"/>
      <c r="G245" s="178"/>
      <c r="H245" s="178"/>
      <c r="I245" s="178"/>
      <c r="J245" s="178"/>
      <c r="K245" s="178"/>
      <c r="L245" s="178"/>
      <c r="M245" s="178"/>
      <c r="N245" s="178"/>
      <c r="O245" s="178"/>
      <c r="P245" s="178"/>
      <c r="Q245" s="178"/>
      <c r="R245" s="178"/>
      <c r="S245" s="178"/>
      <c r="T245" s="178"/>
      <c r="U245" s="178"/>
      <c r="V245" s="178"/>
      <c r="W245" s="178"/>
      <c r="X245" s="178"/>
      <c r="Y245" s="178"/>
      <c r="Z245" s="178"/>
      <c r="AA245" s="178"/>
      <c r="AB245" s="178"/>
      <c r="AC245" s="178"/>
      <c r="AD245" s="237"/>
      <c r="AE245" s="237"/>
    </row>
    <row r="246" spans="2:31" s="32" customFormat="1">
      <c r="B246" s="35"/>
      <c r="C246" s="178"/>
      <c r="D246" s="178"/>
      <c r="E246" s="178"/>
      <c r="F246" s="178"/>
      <c r="G246" s="178"/>
      <c r="H246" s="178"/>
      <c r="I246" s="178"/>
      <c r="J246" s="178"/>
      <c r="K246" s="178"/>
      <c r="L246" s="178"/>
      <c r="M246" s="178"/>
      <c r="N246" s="178"/>
      <c r="O246" s="178"/>
      <c r="P246" s="178"/>
      <c r="Q246" s="178"/>
      <c r="R246" s="178"/>
      <c r="S246" s="178"/>
      <c r="T246" s="178"/>
      <c r="U246" s="178"/>
      <c r="V246" s="178"/>
      <c r="W246" s="178"/>
      <c r="X246" s="178"/>
      <c r="Y246" s="178"/>
      <c r="Z246" s="178"/>
      <c r="AA246" s="178"/>
      <c r="AB246" s="178"/>
      <c r="AC246" s="178"/>
      <c r="AD246" s="237"/>
      <c r="AE246" s="237"/>
    </row>
    <row r="247" spans="2:31" s="32" customFormat="1">
      <c r="B247" s="35"/>
      <c r="C247" s="178"/>
      <c r="D247" s="178"/>
      <c r="E247" s="178"/>
      <c r="F247" s="178"/>
      <c r="G247" s="178"/>
      <c r="H247" s="178"/>
      <c r="I247" s="178"/>
      <c r="J247" s="178"/>
      <c r="K247" s="178"/>
      <c r="L247" s="178"/>
      <c r="M247" s="178"/>
      <c r="N247" s="178"/>
      <c r="O247" s="178"/>
      <c r="P247" s="178"/>
      <c r="Q247" s="178"/>
      <c r="R247" s="178"/>
      <c r="S247" s="178"/>
      <c r="T247" s="178"/>
      <c r="U247" s="178"/>
      <c r="V247" s="178"/>
      <c r="W247" s="178"/>
      <c r="X247" s="178"/>
      <c r="Y247" s="178"/>
      <c r="Z247" s="178"/>
      <c r="AA247" s="178"/>
      <c r="AB247" s="178"/>
      <c r="AC247" s="178"/>
      <c r="AD247" s="237"/>
      <c r="AE247" s="237"/>
    </row>
    <row r="248" spans="2:31" s="32" customFormat="1">
      <c r="B248" s="35"/>
      <c r="C248" s="178"/>
      <c r="D248" s="178"/>
      <c r="E248" s="178"/>
      <c r="F248" s="178"/>
      <c r="G248" s="178"/>
      <c r="H248" s="178"/>
      <c r="I248" s="178"/>
      <c r="J248" s="178"/>
      <c r="K248" s="178"/>
      <c r="L248" s="178"/>
      <c r="M248" s="178"/>
      <c r="N248" s="178"/>
      <c r="O248" s="178"/>
      <c r="P248" s="178"/>
      <c r="Q248" s="178"/>
      <c r="R248" s="178"/>
      <c r="S248" s="178"/>
      <c r="T248" s="178"/>
      <c r="U248" s="178"/>
      <c r="V248" s="178"/>
      <c r="W248" s="178"/>
      <c r="X248" s="178"/>
      <c r="Y248" s="178"/>
      <c r="Z248" s="178"/>
      <c r="AA248" s="178"/>
      <c r="AB248" s="178"/>
      <c r="AC248" s="178"/>
      <c r="AD248" s="237"/>
      <c r="AE248" s="237"/>
    </row>
    <row r="249" spans="2:31" s="32" customFormat="1">
      <c r="B249" s="35"/>
      <c r="C249" s="178"/>
      <c r="D249" s="178"/>
      <c r="E249" s="178"/>
      <c r="F249" s="178"/>
      <c r="G249" s="178"/>
      <c r="H249" s="178"/>
      <c r="I249" s="178"/>
      <c r="J249" s="178"/>
      <c r="K249" s="178"/>
      <c r="L249" s="178"/>
      <c r="M249" s="178"/>
      <c r="N249" s="178"/>
      <c r="O249" s="178"/>
      <c r="P249" s="178"/>
      <c r="Q249" s="178"/>
      <c r="R249" s="178"/>
      <c r="S249" s="178"/>
      <c r="T249" s="178"/>
      <c r="U249" s="178"/>
      <c r="V249" s="178"/>
      <c r="W249" s="178"/>
      <c r="X249" s="178"/>
      <c r="Y249" s="178"/>
      <c r="Z249" s="178"/>
      <c r="AA249" s="178"/>
      <c r="AB249" s="178"/>
      <c r="AC249" s="178"/>
      <c r="AD249" s="237"/>
      <c r="AE249" s="237"/>
    </row>
    <row r="250" spans="2:31" s="32" customFormat="1">
      <c r="B250" s="35"/>
      <c r="C250" s="178"/>
      <c r="D250" s="178"/>
      <c r="E250" s="178"/>
      <c r="F250" s="178"/>
      <c r="G250" s="178"/>
      <c r="H250" s="178"/>
      <c r="I250" s="178"/>
      <c r="J250" s="178"/>
      <c r="K250" s="178"/>
      <c r="L250" s="178"/>
      <c r="M250" s="178"/>
      <c r="N250" s="178"/>
      <c r="O250" s="178"/>
      <c r="P250" s="178"/>
      <c r="Q250" s="178"/>
      <c r="R250" s="178"/>
      <c r="S250" s="178"/>
      <c r="T250" s="178"/>
      <c r="U250" s="178"/>
      <c r="V250" s="178"/>
      <c r="W250" s="178"/>
      <c r="X250" s="178"/>
      <c r="Y250" s="178"/>
      <c r="Z250" s="178"/>
      <c r="AA250" s="178"/>
      <c r="AB250" s="178"/>
      <c r="AC250" s="178"/>
      <c r="AD250" s="237"/>
      <c r="AE250" s="237"/>
    </row>
    <row r="251" spans="2:31" s="32" customFormat="1">
      <c r="B251" s="35"/>
      <c r="C251" s="178"/>
      <c r="D251" s="178"/>
      <c r="E251" s="178"/>
      <c r="F251" s="178"/>
      <c r="G251" s="178"/>
      <c r="H251" s="178"/>
      <c r="I251" s="178"/>
      <c r="J251" s="178"/>
      <c r="K251" s="178"/>
      <c r="L251" s="178"/>
      <c r="M251" s="178"/>
      <c r="N251" s="178"/>
      <c r="O251" s="178"/>
      <c r="P251" s="178"/>
      <c r="Q251" s="178"/>
      <c r="R251" s="178"/>
      <c r="S251" s="178"/>
      <c r="T251" s="178"/>
      <c r="U251" s="178"/>
      <c r="V251" s="178"/>
      <c r="W251" s="178"/>
      <c r="X251" s="178"/>
      <c r="Y251" s="178"/>
      <c r="Z251" s="178"/>
      <c r="AA251" s="178"/>
      <c r="AB251" s="178"/>
      <c r="AC251" s="178"/>
      <c r="AD251" s="237"/>
      <c r="AE251" s="237"/>
    </row>
    <row r="252" spans="2:31" s="32" customFormat="1">
      <c r="B252" s="35"/>
      <c r="C252" s="178"/>
      <c r="D252" s="178"/>
      <c r="E252" s="178"/>
      <c r="F252" s="178"/>
      <c r="G252" s="178"/>
      <c r="H252" s="178"/>
      <c r="I252" s="178"/>
      <c r="J252" s="178"/>
      <c r="K252" s="178"/>
      <c r="L252" s="178"/>
      <c r="M252" s="178"/>
      <c r="N252" s="178"/>
      <c r="O252" s="178"/>
      <c r="P252" s="178"/>
      <c r="Q252" s="178"/>
      <c r="R252" s="178"/>
      <c r="S252" s="178"/>
      <c r="T252" s="178"/>
      <c r="U252" s="178"/>
      <c r="V252" s="178"/>
      <c r="W252" s="178"/>
      <c r="X252" s="178"/>
      <c r="Y252" s="178"/>
      <c r="Z252" s="178"/>
      <c r="AA252" s="178"/>
      <c r="AB252" s="178"/>
      <c r="AC252" s="178"/>
      <c r="AD252" s="237"/>
      <c r="AE252" s="237"/>
    </row>
    <row r="253" spans="2:31" s="32" customFormat="1">
      <c r="B253" s="35"/>
      <c r="C253" s="178"/>
      <c r="D253" s="178"/>
      <c r="E253" s="178"/>
      <c r="F253" s="178"/>
      <c r="G253" s="178"/>
      <c r="H253" s="178"/>
      <c r="I253" s="178"/>
      <c r="J253" s="178"/>
      <c r="K253" s="178"/>
      <c r="L253" s="178"/>
      <c r="M253" s="178"/>
      <c r="N253" s="178"/>
      <c r="O253" s="178"/>
      <c r="P253" s="178"/>
      <c r="Q253" s="178"/>
      <c r="R253" s="178"/>
      <c r="S253" s="178"/>
      <c r="T253" s="178"/>
      <c r="U253" s="178"/>
      <c r="V253" s="178"/>
      <c r="W253" s="178"/>
      <c r="X253" s="178"/>
      <c r="Y253" s="178"/>
      <c r="Z253" s="178"/>
      <c r="AA253" s="178"/>
      <c r="AB253" s="178"/>
      <c r="AC253" s="178"/>
      <c r="AD253" s="237"/>
      <c r="AE253" s="237"/>
    </row>
    <row r="254" spans="2:31" s="32" customFormat="1">
      <c r="B254" s="35"/>
      <c r="C254" s="178"/>
      <c r="D254" s="178"/>
      <c r="E254" s="178"/>
      <c r="F254" s="178"/>
      <c r="G254" s="178"/>
      <c r="H254" s="178"/>
      <c r="I254" s="178"/>
      <c r="J254" s="178"/>
      <c r="K254" s="178"/>
      <c r="L254" s="178"/>
      <c r="M254" s="178"/>
      <c r="N254" s="178"/>
      <c r="O254" s="178"/>
      <c r="P254" s="178"/>
      <c r="Q254" s="178"/>
      <c r="R254" s="178"/>
      <c r="S254" s="178"/>
      <c r="T254" s="178"/>
      <c r="U254" s="178"/>
      <c r="V254" s="178"/>
      <c r="W254" s="178"/>
      <c r="X254" s="178"/>
      <c r="Y254" s="178"/>
      <c r="Z254" s="178"/>
      <c r="AA254" s="178"/>
      <c r="AB254" s="178"/>
      <c r="AC254" s="178"/>
      <c r="AD254" s="237"/>
      <c r="AE254" s="237"/>
    </row>
    <row r="255" spans="2:31" s="32" customFormat="1">
      <c r="B255" s="35"/>
      <c r="C255" s="178"/>
      <c r="D255" s="178"/>
      <c r="E255" s="178"/>
      <c r="F255" s="178"/>
      <c r="G255" s="178"/>
      <c r="H255" s="178"/>
      <c r="I255" s="178"/>
      <c r="J255" s="178"/>
      <c r="K255" s="178"/>
      <c r="L255" s="178"/>
      <c r="M255" s="178"/>
      <c r="N255" s="178"/>
      <c r="O255" s="178"/>
      <c r="P255" s="178"/>
      <c r="Q255" s="178"/>
      <c r="R255" s="178"/>
      <c r="S255" s="178"/>
      <c r="T255" s="178"/>
      <c r="U255" s="178"/>
      <c r="V255" s="178"/>
      <c r="W255" s="178"/>
      <c r="X255" s="178"/>
      <c r="Y255" s="178"/>
      <c r="Z255" s="178"/>
      <c r="AA255" s="178"/>
      <c r="AB255" s="178"/>
      <c r="AC255" s="178"/>
      <c r="AD255" s="237"/>
      <c r="AE255" s="237"/>
    </row>
    <row r="256" spans="2:31" s="32" customFormat="1">
      <c r="B256" s="35"/>
      <c r="C256" s="178"/>
      <c r="D256" s="178"/>
      <c r="E256" s="178"/>
      <c r="F256" s="178"/>
      <c r="G256" s="178"/>
      <c r="H256" s="178"/>
      <c r="I256" s="178"/>
      <c r="J256" s="178"/>
      <c r="K256" s="178"/>
      <c r="L256" s="178"/>
      <c r="M256" s="178"/>
      <c r="N256" s="178"/>
      <c r="O256" s="178"/>
      <c r="P256" s="178"/>
      <c r="Q256" s="178"/>
      <c r="R256" s="178"/>
      <c r="S256" s="178"/>
      <c r="T256" s="178"/>
      <c r="U256" s="178"/>
      <c r="V256" s="178"/>
      <c r="W256" s="178"/>
      <c r="X256" s="178"/>
      <c r="Y256" s="178"/>
      <c r="Z256" s="178"/>
      <c r="AA256" s="178"/>
      <c r="AB256" s="178"/>
      <c r="AC256" s="178"/>
      <c r="AD256" s="237"/>
      <c r="AE256" s="237"/>
    </row>
    <row r="257" spans="2:31" s="32" customFormat="1">
      <c r="B257" s="35"/>
      <c r="C257" s="178"/>
      <c r="D257" s="178"/>
      <c r="E257" s="178"/>
      <c r="F257" s="178"/>
      <c r="G257" s="178"/>
      <c r="H257" s="178"/>
      <c r="I257" s="178"/>
      <c r="J257" s="178"/>
      <c r="K257" s="178"/>
      <c r="L257" s="178"/>
      <c r="M257" s="178"/>
      <c r="N257" s="178"/>
      <c r="O257" s="178"/>
      <c r="P257" s="178"/>
      <c r="Q257" s="178"/>
      <c r="R257" s="178"/>
      <c r="S257" s="178"/>
      <c r="T257" s="178"/>
      <c r="U257" s="178"/>
      <c r="V257" s="178"/>
      <c r="W257" s="178"/>
      <c r="X257" s="178"/>
      <c r="Y257" s="178"/>
      <c r="Z257" s="178"/>
      <c r="AA257" s="178"/>
      <c r="AB257" s="178"/>
      <c r="AC257" s="178"/>
      <c r="AD257" s="237"/>
      <c r="AE257" s="237"/>
    </row>
    <row r="258" spans="2:31" s="32" customFormat="1">
      <c r="B258" s="35"/>
      <c r="C258" s="178"/>
      <c r="D258" s="178"/>
      <c r="E258" s="178"/>
      <c r="F258" s="178"/>
      <c r="G258" s="178"/>
      <c r="H258" s="178"/>
      <c r="I258" s="178"/>
      <c r="J258" s="178"/>
      <c r="K258" s="178"/>
      <c r="L258" s="178"/>
      <c r="M258" s="178"/>
      <c r="N258" s="178"/>
      <c r="O258" s="178"/>
      <c r="P258" s="178"/>
      <c r="Q258" s="178"/>
      <c r="R258" s="178"/>
      <c r="S258" s="178"/>
      <c r="T258" s="178"/>
      <c r="U258" s="178"/>
      <c r="V258" s="178"/>
      <c r="W258" s="178"/>
      <c r="X258" s="178"/>
      <c r="Y258" s="178"/>
      <c r="Z258" s="178"/>
      <c r="AA258" s="178"/>
      <c r="AB258" s="178"/>
      <c r="AC258" s="178"/>
      <c r="AD258" s="237"/>
      <c r="AE258" s="237"/>
    </row>
    <row r="259" spans="2:31" s="32" customFormat="1">
      <c r="B259" s="35"/>
      <c r="C259" s="178"/>
      <c r="D259" s="178"/>
      <c r="E259" s="178"/>
      <c r="F259" s="178"/>
      <c r="G259" s="178"/>
      <c r="H259" s="178"/>
      <c r="I259" s="178"/>
      <c r="J259" s="178"/>
      <c r="K259" s="178"/>
      <c r="L259" s="178"/>
      <c r="M259" s="178"/>
      <c r="N259" s="178"/>
      <c r="O259" s="178"/>
      <c r="P259" s="178"/>
      <c r="Q259" s="178"/>
      <c r="R259" s="178"/>
      <c r="S259" s="178"/>
      <c r="T259" s="178"/>
      <c r="U259" s="178"/>
      <c r="V259" s="178"/>
      <c r="W259" s="178"/>
      <c r="X259" s="178"/>
      <c r="Y259" s="178"/>
      <c r="Z259" s="178"/>
      <c r="AA259" s="178"/>
      <c r="AB259" s="178"/>
      <c r="AC259" s="178"/>
      <c r="AD259" s="237"/>
      <c r="AE259" s="237"/>
    </row>
    <row r="260" spans="2:31" s="32" customFormat="1">
      <c r="B260" s="35"/>
      <c r="C260" s="178"/>
      <c r="D260" s="178"/>
      <c r="E260" s="178"/>
      <c r="F260" s="178"/>
      <c r="G260" s="178"/>
      <c r="H260" s="178"/>
      <c r="I260" s="178"/>
      <c r="J260" s="178"/>
      <c r="K260" s="178"/>
      <c r="L260" s="178"/>
      <c r="M260" s="178"/>
      <c r="N260" s="178"/>
      <c r="O260" s="178"/>
      <c r="P260" s="178"/>
      <c r="Q260" s="178"/>
      <c r="R260" s="178"/>
      <c r="S260" s="178"/>
      <c r="T260" s="178"/>
      <c r="U260" s="178"/>
      <c r="V260" s="178"/>
      <c r="W260" s="178"/>
      <c r="X260" s="178"/>
      <c r="Y260" s="178"/>
      <c r="Z260" s="178"/>
      <c r="AA260" s="178"/>
      <c r="AB260" s="178"/>
      <c r="AC260" s="178"/>
      <c r="AD260" s="237"/>
      <c r="AE260" s="237"/>
    </row>
    <row r="261" spans="2:31" s="32" customFormat="1">
      <c r="B261" s="35"/>
      <c r="C261" s="178"/>
      <c r="D261" s="178"/>
      <c r="E261" s="178"/>
      <c r="F261" s="178"/>
      <c r="G261" s="178"/>
      <c r="H261" s="178"/>
      <c r="I261" s="178"/>
      <c r="J261" s="178"/>
      <c r="K261" s="178"/>
      <c r="L261" s="178"/>
      <c r="M261" s="178"/>
      <c r="N261" s="178"/>
      <c r="O261" s="178"/>
      <c r="P261" s="178"/>
      <c r="Q261" s="178"/>
      <c r="R261" s="178"/>
      <c r="S261" s="178"/>
      <c r="T261" s="178"/>
      <c r="U261" s="178"/>
      <c r="V261" s="178"/>
      <c r="W261" s="178"/>
      <c r="X261" s="178"/>
      <c r="Y261" s="178"/>
      <c r="Z261" s="178"/>
      <c r="AA261" s="178"/>
      <c r="AB261" s="178"/>
      <c r="AC261" s="178"/>
      <c r="AD261" s="237"/>
      <c r="AE261" s="237"/>
    </row>
    <row r="262" spans="2:31" s="32" customFormat="1">
      <c r="B262" s="35"/>
      <c r="C262" s="178"/>
      <c r="D262" s="178"/>
      <c r="E262" s="178"/>
      <c r="F262" s="178"/>
      <c r="G262" s="178"/>
      <c r="H262" s="178"/>
      <c r="I262" s="178"/>
      <c r="J262" s="178"/>
      <c r="K262" s="178"/>
      <c r="L262" s="178"/>
      <c r="M262" s="178"/>
      <c r="N262" s="178"/>
      <c r="O262" s="178"/>
      <c r="P262" s="178"/>
      <c r="Q262" s="178"/>
      <c r="R262" s="178"/>
      <c r="S262" s="178"/>
      <c r="T262" s="178"/>
      <c r="U262" s="178"/>
      <c r="V262" s="178"/>
      <c r="W262" s="178"/>
      <c r="X262" s="178"/>
      <c r="Y262" s="178"/>
      <c r="Z262" s="178"/>
      <c r="AA262" s="178"/>
      <c r="AB262" s="178"/>
      <c r="AC262" s="178"/>
      <c r="AD262" s="237"/>
      <c r="AE262" s="237"/>
    </row>
    <row r="263" spans="2:31" s="32" customFormat="1">
      <c r="B263" s="35"/>
      <c r="C263" s="178"/>
      <c r="D263" s="178"/>
      <c r="E263" s="178"/>
      <c r="F263" s="178"/>
      <c r="G263" s="178"/>
      <c r="H263" s="178"/>
      <c r="I263" s="178"/>
      <c r="J263" s="178"/>
      <c r="K263" s="178"/>
      <c r="L263" s="178"/>
      <c r="M263" s="178"/>
      <c r="N263" s="178"/>
      <c r="O263" s="178"/>
      <c r="P263" s="178"/>
      <c r="Q263" s="178"/>
      <c r="R263" s="178"/>
      <c r="S263" s="178"/>
      <c r="T263" s="178"/>
      <c r="U263" s="178"/>
      <c r="V263" s="178"/>
      <c r="W263" s="178"/>
      <c r="X263" s="178"/>
      <c r="Y263" s="178"/>
      <c r="Z263" s="178"/>
      <c r="AA263" s="178"/>
      <c r="AB263" s="178"/>
      <c r="AC263" s="178"/>
      <c r="AD263" s="237"/>
      <c r="AE263" s="237"/>
    </row>
    <row r="264" spans="2:31" s="32" customFormat="1">
      <c r="B264" s="35"/>
      <c r="C264" s="178"/>
      <c r="D264" s="178"/>
      <c r="E264" s="178"/>
      <c r="F264" s="178"/>
      <c r="G264" s="178"/>
      <c r="H264" s="178"/>
      <c r="I264" s="178"/>
      <c r="J264" s="178"/>
      <c r="K264" s="178"/>
      <c r="L264" s="178"/>
      <c r="M264" s="178"/>
      <c r="N264" s="178"/>
      <c r="O264" s="178"/>
      <c r="P264" s="178"/>
      <c r="Q264" s="178"/>
      <c r="R264" s="178"/>
      <c r="S264" s="178"/>
      <c r="T264" s="178"/>
      <c r="U264" s="178"/>
      <c r="V264" s="178"/>
      <c r="W264" s="178"/>
      <c r="X264" s="178"/>
      <c r="Y264" s="178"/>
      <c r="Z264" s="178"/>
      <c r="AA264" s="178"/>
      <c r="AB264" s="178"/>
      <c r="AC264" s="178"/>
      <c r="AD264" s="237"/>
      <c r="AE264" s="237"/>
    </row>
    <row r="265" spans="2:31" s="32" customFormat="1">
      <c r="B265" s="35"/>
      <c r="C265" s="178"/>
      <c r="D265" s="178"/>
      <c r="E265" s="178"/>
      <c r="F265" s="178"/>
      <c r="G265" s="178"/>
      <c r="H265" s="178"/>
      <c r="I265" s="178"/>
      <c r="J265" s="178"/>
      <c r="K265" s="178"/>
      <c r="L265" s="178"/>
      <c r="M265" s="178"/>
      <c r="N265" s="178"/>
      <c r="O265" s="178"/>
      <c r="P265" s="178"/>
      <c r="Q265" s="178"/>
      <c r="R265" s="178"/>
      <c r="S265" s="178"/>
      <c r="T265" s="178"/>
      <c r="U265" s="178"/>
      <c r="V265" s="178"/>
      <c r="W265" s="178"/>
      <c r="X265" s="178"/>
      <c r="Y265" s="178"/>
      <c r="Z265" s="178"/>
      <c r="AA265" s="178"/>
      <c r="AB265" s="178"/>
      <c r="AC265" s="178"/>
      <c r="AD265" s="237"/>
      <c r="AE265" s="237"/>
    </row>
    <row r="266" spans="2:31" s="32" customFormat="1">
      <c r="B266" s="35"/>
      <c r="C266" s="178"/>
      <c r="D266" s="178"/>
      <c r="E266" s="178"/>
      <c r="F266" s="178"/>
      <c r="G266" s="178"/>
      <c r="H266" s="178"/>
      <c r="I266" s="178"/>
      <c r="J266" s="178"/>
      <c r="K266" s="178"/>
      <c r="L266" s="178"/>
      <c r="M266" s="178"/>
      <c r="N266" s="178"/>
      <c r="O266" s="178"/>
      <c r="P266" s="178"/>
      <c r="Q266" s="178"/>
      <c r="R266" s="178"/>
      <c r="S266" s="178"/>
      <c r="T266" s="178"/>
      <c r="U266" s="178"/>
      <c r="V266" s="178"/>
      <c r="W266" s="178"/>
      <c r="X266" s="178"/>
      <c r="Y266" s="178"/>
      <c r="Z266" s="178"/>
      <c r="AA266" s="178"/>
      <c r="AB266" s="178"/>
      <c r="AC266" s="178"/>
      <c r="AD266" s="237"/>
      <c r="AE266" s="237"/>
    </row>
    <row r="267" spans="2:31" s="32" customFormat="1">
      <c r="B267" s="35"/>
      <c r="C267" s="178"/>
      <c r="D267" s="178"/>
      <c r="E267" s="178"/>
      <c r="F267" s="178"/>
      <c r="G267" s="178"/>
      <c r="H267" s="178"/>
      <c r="I267" s="178"/>
      <c r="J267" s="178"/>
      <c r="K267" s="178"/>
      <c r="L267" s="178"/>
      <c r="M267" s="178"/>
      <c r="N267" s="178"/>
      <c r="O267" s="178"/>
      <c r="P267" s="178"/>
      <c r="Q267" s="178"/>
      <c r="R267" s="178"/>
      <c r="S267" s="178"/>
      <c r="T267" s="178"/>
      <c r="U267" s="178"/>
      <c r="V267" s="178"/>
      <c r="W267" s="178"/>
      <c r="X267" s="178"/>
      <c r="Y267" s="178"/>
      <c r="Z267" s="178"/>
      <c r="AA267" s="178"/>
      <c r="AB267" s="178"/>
      <c r="AC267" s="178"/>
      <c r="AD267" s="237"/>
      <c r="AE267" s="237"/>
    </row>
    <row r="268" spans="2:31" s="32" customFormat="1">
      <c r="B268" s="35"/>
      <c r="C268" s="178"/>
      <c r="D268" s="178"/>
      <c r="E268" s="178"/>
      <c r="F268" s="178"/>
      <c r="G268" s="178"/>
      <c r="H268" s="178"/>
      <c r="I268" s="178"/>
      <c r="J268" s="178"/>
      <c r="K268" s="178"/>
      <c r="L268" s="178"/>
      <c r="M268" s="178"/>
      <c r="N268" s="178"/>
      <c r="O268" s="178"/>
      <c r="P268" s="178"/>
      <c r="Q268" s="178"/>
      <c r="R268" s="178"/>
      <c r="S268" s="178"/>
      <c r="T268" s="178"/>
      <c r="U268" s="178"/>
      <c r="V268" s="178"/>
      <c r="W268" s="178"/>
      <c r="X268" s="178"/>
      <c r="Y268" s="178"/>
      <c r="Z268" s="178"/>
      <c r="AA268" s="178"/>
      <c r="AB268" s="178"/>
      <c r="AC268" s="178"/>
      <c r="AD268" s="237"/>
      <c r="AE268" s="237"/>
    </row>
    <row r="269" spans="2:31" s="32" customFormat="1">
      <c r="B269" s="35"/>
      <c r="C269" s="178"/>
      <c r="D269" s="178"/>
      <c r="E269" s="178"/>
      <c r="F269" s="178"/>
      <c r="G269" s="178"/>
      <c r="H269" s="178"/>
      <c r="I269" s="178"/>
      <c r="J269" s="178"/>
      <c r="K269" s="178"/>
      <c r="L269" s="178"/>
      <c r="M269" s="178"/>
      <c r="N269" s="178"/>
      <c r="O269" s="178"/>
      <c r="P269" s="178"/>
      <c r="Q269" s="178"/>
      <c r="R269" s="178"/>
      <c r="S269" s="178"/>
      <c r="T269" s="178"/>
      <c r="U269" s="178"/>
      <c r="V269" s="178"/>
      <c r="W269" s="178"/>
      <c r="X269" s="178"/>
      <c r="Y269" s="178"/>
      <c r="Z269" s="178"/>
      <c r="AA269" s="178"/>
      <c r="AB269" s="178"/>
      <c r="AC269" s="178"/>
      <c r="AD269" s="237"/>
      <c r="AE269" s="237"/>
    </row>
    <row r="270" spans="2:31" s="32" customFormat="1">
      <c r="B270" s="35"/>
      <c r="C270" s="178"/>
      <c r="D270" s="178"/>
      <c r="E270" s="178"/>
      <c r="F270" s="178"/>
      <c r="G270" s="178"/>
      <c r="H270" s="178"/>
      <c r="I270" s="178"/>
      <c r="J270" s="178"/>
      <c r="K270" s="178"/>
      <c r="L270" s="178"/>
      <c r="M270" s="178"/>
      <c r="N270" s="178"/>
      <c r="O270" s="178"/>
      <c r="P270" s="178"/>
      <c r="Q270" s="178"/>
      <c r="R270" s="178"/>
      <c r="S270" s="178"/>
      <c r="T270" s="178"/>
      <c r="U270" s="178"/>
      <c r="V270" s="178"/>
      <c r="W270" s="178"/>
      <c r="X270" s="178"/>
      <c r="Y270" s="178"/>
      <c r="Z270" s="178"/>
      <c r="AA270" s="178"/>
      <c r="AB270" s="178"/>
      <c r="AC270" s="178"/>
      <c r="AD270" s="237"/>
      <c r="AE270" s="237"/>
    </row>
    <row r="271" spans="2:31" s="32" customFormat="1">
      <c r="B271" s="35"/>
      <c r="C271" s="178"/>
      <c r="D271" s="178"/>
      <c r="E271" s="178"/>
      <c r="F271" s="178"/>
      <c r="G271" s="178"/>
      <c r="H271" s="178"/>
      <c r="I271" s="178"/>
      <c r="J271" s="178"/>
      <c r="K271" s="178"/>
      <c r="L271" s="178"/>
      <c r="M271" s="178"/>
      <c r="N271" s="178"/>
      <c r="O271" s="178"/>
      <c r="P271" s="178"/>
      <c r="Q271" s="178"/>
      <c r="R271" s="178"/>
      <c r="S271" s="178"/>
      <c r="T271" s="178"/>
      <c r="U271" s="178"/>
      <c r="V271" s="178"/>
      <c r="W271" s="178"/>
      <c r="X271" s="178"/>
      <c r="Y271" s="178"/>
      <c r="Z271" s="178"/>
      <c r="AA271" s="178"/>
      <c r="AB271" s="178"/>
      <c r="AC271" s="178"/>
      <c r="AD271" s="237"/>
      <c r="AE271" s="237"/>
    </row>
    <row r="272" spans="2:31" s="32" customFormat="1">
      <c r="B272" s="35"/>
      <c r="C272" s="178"/>
      <c r="D272" s="178"/>
      <c r="E272" s="178"/>
      <c r="F272" s="178"/>
      <c r="G272" s="178"/>
      <c r="H272" s="178"/>
      <c r="I272" s="178"/>
      <c r="J272" s="178"/>
      <c r="K272" s="178"/>
      <c r="L272" s="178"/>
      <c r="M272" s="178"/>
      <c r="N272" s="178"/>
      <c r="O272" s="178"/>
      <c r="P272" s="178"/>
      <c r="Q272" s="178"/>
      <c r="R272" s="178"/>
      <c r="S272" s="178"/>
      <c r="T272" s="178"/>
      <c r="U272" s="178"/>
      <c r="V272" s="178"/>
      <c r="W272" s="178"/>
      <c r="X272" s="178"/>
      <c r="Y272" s="178"/>
      <c r="Z272" s="178"/>
      <c r="AA272" s="178"/>
      <c r="AB272" s="178"/>
      <c r="AC272" s="178"/>
      <c r="AD272" s="237"/>
      <c r="AE272" s="237"/>
    </row>
    <row r="273" spans="2:39" s="32" customFormat="1">
      <c r="B273" s="35"/>
      <c r="C273" s="178"/>
      <c r="D273" s="178"/>
      <c r="E273" s="178"/>
      <c r="F273" s="178"/>
      <c r="G273" s="178"/>
      <c r="H273" s="178"/>
      <c r="I273" s="178"/>
      <c r="J273" s="178"/>
      <c r="K273" s="178"/>
      <c r="L273" s="178"/>
      <c r="M273" s="178"/>
      <c r="N273" s="178"/>
      <c r="O273" s="178"/>
      <c r="P273" s="178"/>
      <c r="Q273" s="178"/>
      <c r="R273" s="178"/>
      <c r="S273" s="178"/>
      <c r="T273" s="178"/>
      <c r="U273" s="178"/>
      <c r="V273" s="178"/>
      <c r="W273" s="178"/>
      <c r="X273" s="178"/>
      <c r="Y273" s="178"/>
      <c r="Z273" s="178"/>
      <c r="AA273" s="178"/>
      <c r="AB273" s="178"/>
      <c r="AC273" s="178"/>
      <c r="AD273" s="237"/>
      <c r="AE273" s="237"/>
    </row>
    <row r="274" spans="2:39" s="32" customFormat="1" ht="15.75">
      <c r="B274" s="838" t="s">
        <v>361</v>
      </c>
      <c r="C274" s="178"/>
      <c r="D274" s="178"/>
      <c r="E274" s="178"/>
      <c r="F274" s="178"/>
      <c r="G274" s="178"/>
      <c r="H274" s="178"/>
      <c r="I274" s="178"/>
      <c r="J274" s="178"/>
      <c r="K274" s="178"/>
      <c r="L274" s="178"/>
      <c r="M274" s="178"/>
      <c r="N274" s="178"/>
      <c r="O274" s="178"/>
      <c r="P274" s="178"/>
      <c r="Q274" s="178"/>
      <c r="R274" s="178"/>
      <c r="S274" s="178"/>
      <c r="T274" s="178"/>
      <c r="U274" s="178"/>
      <c r="V274" s="178"/>
      <c r="W274" s="178"/>
      <c r="X274" s="178"/>
      <c r="Y274" s="178"/>
      <c r="Z274" s="178"/>
      <c r="AA274" s="178"/>
      <c r="AB274" s="178"/>
      <c r="AC274" s="178"/>
      <c r="AD274" s="237"/>
      <c r="AE274" s="237"/>
    </row>
    <row r="275" spans="2:39" s="31" customFormat="1">
      <c r="B275" s="839" t="s">
        <v>483</v>
      </c>
      <c r="C275" s="170" t="s">
        <v>216</v>
      </c>
      <c r="D275" s="170">
        <v>2005</v>
      </c>
      <c r="E275" s="170">
        <v>2006</v>
      </c>
      <c r="F275" s="170">
        <v>2007</v>
      </c>
      <c r="G275" s="170">
        <v>2008</v>
      </c>
      <c r="H275" s="170">
        <v>2009</v>
      </c>
      <c r="I275" s="170">
        <v>2010</v>
      </c>
      <c r="J275" s="170">
        <v>2011</v>
      </c>
      <c r="K275" s="170">
        <v>2012</v>
      </c>
      <c r="L275" s="384">
        <f t="shared" ref="L275:W275" si="116">+D175</f>
        <v>2013</v>
      </c>
      <c r="M275" s="170">
        <f t="shared" si="116"/>
        <v>2014</v>
      </c>
      <c r="N275" s="170">
        <f t="shared" si="116"/>
        <v>2015</v>
      </c>
      <c r="O275" s="170">
        <f t="shared" si="116"/>
        <v>2016</v>
      </c>
      <c r="P275" s="170">
        <f t="shared" si="116"/>
        <v>2017</v>
      </c>
      <c r="Q275" s="384">
        <f t="shared" si="116"/>
        <v>2018</v>
      </c>
      <c r="R275" s="170">
        <f t="shared" si="116"/>
        <v>2019</v>
      </c>
      <c r="S275" s="170">
        <f t="shared" si="116"/>
        <v>2020</v>
      </c>
      <c r="T275" s="170">
        <f t="shared" si="116"/>
        <v>2021</v>
      </c>
      <c r="U275" s="170">
        <f t="shared" si="116"/>
        <v>2022</v>
      </c>
      <c r="V275" s="384">
        <f t="shared" si="116"/>
        <v>2023</v>
      </c>
      <c r="W275" s="170">
        <f t="shared" si="116"/>
        <v>2024</v>
      </c>
      <c r="X275" s="170">
        <v>2025</v>
      </c>
      <c r="Y275" s="170">
        <v>2026</v>
      </c>
      <c r="Z275" s="170">
        <v>2027</v>
      </c>
      <c r="AA275" s="384">
        <v>2028</v>
      </c>
      <c r="AB275" s="170">
        <f t="shared" ref="AB275:AM275" si="117">+T175</f>
        <v>2029</v>
      </c>
      <c r="AC275" s="170">
        <f t="shared" si="117"/>
        <v>2030</v>
      </c>
      <c r="AD275" s="170">
        <f t="shared" si="117"/>
        <v>2031</v>
      </c>
      <c r="AE275" s="170">
        <f t="shared" si="117"/>
        <v>2032</v>
      </c>
      <c r="AF275" s="430">
        <f t="shared" si="117"/>
        <v>2033</v>
      </c>
      <c r="AG275" s="48">
        <f t="shared" si="117"/>
        <v>2034</v>
      </c>
      <c r="AH275" s="48">
        <f t="shared" si="117"/>
        <v>2035</v>
      </c>
      <c r="AI275" s="48">
        <f t="shared" si="117"/>
        <v>2036</v>
      </c>
      <c r="AJ275" s="48">
        <f t="shared" si="117"/>
        <v>2037</v>
      </c>
      <c r="AK275" s="48">
        <f t="shared" si="117"/>
        <v>2038</v>
      </c>
      <c r="AL275" s="48">
        <f t="shared" si="117"/>
        <v>2039</v>
      </c>
      <c r="AM275" s="48">
        <f t="shared" si="117"/>
        <v>2040</v>
      </c>
    </row>
    <row r="276" spans="2:39" s="31" customFormat="1" ht="15">
      <c r="B276" s="49" t="s">
        <v>6</v>
      </c>
      <c r="C276" s="210">
        <v>1850</v>
      </c>
      <c r="D276" s="194">
        <f t="shared" ref="D276:F277" si="118">C276</f>
        <v>1850</v>
      </c>
      <c r="E276" s="194">
        <f t="shared" si="118"/>
        <v>1850</v>
      </c>
      <c r="F276" s="194">
        <f t="shared" si="118"/>
        <v>1850</v>
      </c>
      <c r="G276" s="210">
        <v>2700</v>
      </c>
      <c r="H276" s="194">
        <f>G276</f>
        <v>2700</v>
      </c>
      <c r="I276" s="194">
        <f t="shared" ref="I276:L277" si="119">H276</f>
        <v>2700</v>
      </c>
      <c r="J276" s="194">
        <f t="shared" si="119"/>
        <v>2700</v>
      </c>
      <c r="K276" s="194">
        <f t="shared" si="119"/>
        <v>2700</v>
      </c>
      <c r="L276" s="194">
        <f t="shared" si="119"/>
        <v>2700</v>
      </c>
      <c r="M276" s="210">
        <v>3000</v>
      </c>
      <c r="N276" s="194">
        <f>M276</f>
        <v>3000</v>
      </c>
      <c r="O276" s="194">
        <f t="shared" ref="O276:R277" si="120">N276</f>
        <v>3000</v>
      </c>
      <c r="P276" s="194">
        <f t="shared" si="120"/>
        <v>3000</v>
      </c>
      <c r="Q276" s="194">
        <f t="shared" si="120"/>
        <v>3000</v>
      </c>
      <c r="R276" s="194">
        <f t="shared" si="120"/>
        <v>3000</v>
      </c>
      <c r="S276" s="210">
        <v>3150</v>
      </c>
      <c r="T276" s="194">
        <f>S276</f>
        <v>3150</v>
      </c>
      <c r="U276" s="194">
        <f t="shared" ref="U276:AH277" si="121">T276</f>
        <v>3150</v>
      </c>
      <c r="V276" s="194">
        <f t="shared" si="121"/>
        <v>3150</v>
      </c>
      <c r="W276" s="194">
        <f t="shared" si="121"/>
        <v>3150</v>
      </c>
      <c r="X276" s="194">
        <f t="shared" si="121"/>
        <v>3150</v>
      </c>
      <c r="Y276" s="194">
        <f t="shared" si="121"/>
        <v>3150</v>
      </c>
      <c r="Z276" s="194">
        <f t="shared" si="121"/>
        <v>3150</v>
      </c>
      <c r="AA276" s="194">
        <f t="shared" si="121"/>
        <v>3150</v>
      </c>
      <c r="AB276" s="194">
        <f t="shared" si="121"/>
        <v>3150</v>
      </c>
      <c r="AC276" s="194">
        <f t="shared" si="121"/>
        <v>3150</v>
      </c>
      <c r="AD276" s="194">
        <f t="shared" si="121"/>
        <v>3150</v>
      </c>
      <c r="AE276" s="194">
        <f t="shared" si="121"/>
        <v>3150</v>
      </c>
      <c r="AF276" s="194">
        <f t="shared" si="121"/>
        <v>3150</v>
      </c>
      <c r="AG276" s="194">
        <f t="shared" si="121"/>
        <v>3150</v>
      </c>
      <c r="AH276" s="194">
        <f t="shared" si="121"/>
        <v>3150</v>
      </c>
      <c r="AI276" s="194">
        <f t="shared" ref="AI276:AM276" si="122">AH276</f>
        <v>3150</v>
      </c>
      <c r="AJ276" s="194">
        <f t="shared" si="122"/>
        <v>3150</v>
      </c>
      <c r="AK276" s="194">
        <f t="shared" si="122"/>
        <v>3150</v>
      </c>
      <c r="AL276" s="194">
        <f t="shared" si="122"/>
        <v>3150</v>
      </c>
      <c r="AM276" s="194">
        <f t="shared" si="122"/>
        <v>3150</v>
      </c>
    </row>
    <row r="277" spans="2:39" s="31" customFormat="1" ht="15">
      <c r="B277" s="49" t="s">
        <v>7</v>
      </c>
      <c r="C277" s="210">
        <v>2000</v>
      </c>
      <c r="D277" s="194">
        <f t="shared" si="118"/>
        <v>2000</v>
      </c>
      <c r="E277" s="194">
        <f t="shared" si="118"/>
        <v>2000</v>
      </c>
      <c r="F277" s="194">
        <f t="shared" si="118"/>
        <v>2000</v>
      </c>
      <c r="G277" s="210">
        <v>2950</v>
      </c>
      <c r="H277" s="194">
        <f>G277</f>
        <v>2950</v>
      </c>
      <c r="I277" s="194">
        <f t="shared" si="119"/>
        <v>2950</v>
      </c>
      <c r="J277" s="194">
        <f t="shared" si="119"/>
        <v>2950</v>
      </c>
      <c r="K277" s="194">
        <f t="shared" si="119"/>
        <v>2950</v>
      </c>
      <c r="L277" s="651">
        <f t="shared" si="119"/>
        <v>2950</v>
      </c>
      <c r="M277" s="210">
        <v>3150</v>
      </c>
      <c r="N277" s="194">
        <f>M277</f>
        <v>3150</v>
      </c>
      <c r="O277" s="194">
        <f t="shared" si="120"/>
        <v>3150</v>
      </c>
      <c r="P277" s="194">
        <f t="shared" si="120"/>
        <v>3150</v>
      </c>
      <c r="Q277" s="194">
        <f t="shared" si="120"/>
        <v>3150</v>
      </c>
      <c r="R277" s="194">
        <f t="shared" si="120"/>
        <v>3150</v>
      </c>
      <c r="S277" s="210">
        <v>3300</v>
      </c>
      <c r="T277" s="194">
        <f>S277</f>
        <v>3300</v>
      </c>
      <c r="U277" s="194">
        <f t="shared" si="121"/>
        <v>3300</v>
      </c>
      <c r="V277" s="194">
        <f t="shared" si="121"/>
        <v>3300</v>
      </c>
      <c r="W277" s="194">
        <f t="shared" si="121"/>
        <v>3300</v>
      </c>
      <c r="X277" s="194">
        <f t="shared" si="121"/>
        <v>3300</v>
      </c>
      <c r="Y277" s="194">
        <f t="shared" si="121"/>
        <v>3300</v>
      </c>
      <c r="Z277" s="194">
        <f t="shared" si="121"/>
        <v>3300</v>
      </c>
      <c r="AA277" s="194">
        <f t="shared" si="121"/>
        <v>3300</v>
      </c>
      <c r="AB277" s="194">
        <f t="shared" si="121"/>
        <v>3300</v>
      </c>
      <c r="AC277" s="194">
        <f t="shared" si="121"/>
        <v>3300</v>
      </c>
      <c r="AD277" s="194">
        <f t="shared" si="121"/>
        <v>3300</v>
      </c>
      <c r="AE277" s="194">
        <f t="shared" si="121"/>
        <v>3300</v>
      </c>
      <c r="AF277" s="194">
        <f t="shared" si="121"/>
        <v>3300</v>
      </c>
      <c r="AG277" s="194">
        <f t="shared" si="121"/>
        <v>3300</v>
      </c>
      <c r="AH277" s="194">
        <f t="shared" si="121"/>
        <v>3300</v>
      </c>
      <c r="AI277" s="194">
        <f t="shared" ref="AI277:AM277" si="123">AH277</f>
        <v>3300</v>
      </c>
      <c r="AJ277" s="194">
        <f t="shared" si="123"/>
        <v>3300</v>
      </c>
      <c r="AK277" s="194">
        <f t="shared" si="123"/>
        <v>3300</v>
      </c>
      <c r="AL277" s="194">
        <f t="shared" si="123"/>
        <v>3300</v>
      </c>
      <c r="AM277" s="194">
        <f t="shared" si="123"/>
        <v>3300</v>
      </c>
    </row>
    <row r="278" spans="2:39" s="31" customFormat="1">
      <c r="B278" s="34"/>
      <c r="C278" s="166"/>
      <c r="D278" s="166"/>
      <c r="E278" s="166"/>
      <c r="F278" s="166"/>
      <c r="G278" s="166"/>
      <c r="H278" s="166"/>
      <c r="I278" s="166"/>
      <c r="J278" s="664"/>
      <c r="K278" s="664"/>
      <c r="L278" s="166"/>
      <c r="M278" s="166"/>
      <c r="N278" s="166"/>
      <c r="O278" s="664"/>
      <c r="P278" s="664"/>
      <c r="Q278" s="166"/>
      <c r="R278" s="166"/>
      <c r="S278" s="166"/>
      <c r="T278" s="664"/>
      <c r="U278" s="664"/>
      <c r="V278" s="166"/>
      <c r="W278" s="166"/>
      <c r="X278" s="167"/>
      <c r="Y278" s="665"/>
      <c r="Z278" s="665"/>
      <c r="AA278" s="166"/>
      <c r="AB278" s="178"/>
      <c r="AC278" s="178"/>
      <c r="AD278" s="665"/>
      <c r="AE278" s="665"/>
      <c r="AF278" s="32"/>
    </row>
    <row r="279" spans="2:39" s="31" customFormat="1">
      <c r="B279" s="35"/>
      <c r="C279" s="178"/>
      <c r="D279" s="178"/>
      <c r="E279" s="178"/>
      <c r="F279" s="178"/>
      <c r="G279" s="178"/>
      <c r="H279" s="178"/>
      <c r="I279" s="178"/>
      <c r="J279" s="178"/>
      <c r="K279" s="178"/>
      <c r="L279" s="178"/>
      <c r="M279" s="178"/>
      <c r="N279" s="178"/>
      <c r="O279" s="178"/>
      <c r="P279" s="178"/>
      <c r="Q279" s="178"/>
      <c r="R279" s="178"/>
      <c r="S279" s="178"/>
      <c r="T279" s="178"/>
      <c r="U279" s="178"/>
      <c r="V279" s="178"/>
      <c r="W279" s="178"/>
      <c r="X279" s="237"/>
      <c r="Y279" s="237"/>
      <c r="Z279" s="237"/>
      <c r="AA279" s="178"/>
      <c r="AB279" s="178"/>
      <c r="AC279" s="178"/>
      <c r="AD279" s="237"/>
      <c r="AE279" s="237"/>
      <c r="AF279" s="32"/>
    </row>
    <row r="280" spans="2:39" s="31" customFormat="1">
      <c r="B280" s="35"/>
      <c r="C280" s="178"/>
      <c r="D280" s="178"/>
      <c r="E280" s="178"/>
      <c r="F280" s="178"/>
      <c r="G280" s="178"/>
      <c r="H280" s="178"/>
      <c r="I280" s="178"/>
      <c r="J280" s="178"/>
      <c r="K280" s="178"/>
      <c r="L280" s="178"/>
      <c r="M280" s="178"/>
      <c r="N280" s="178"/>
      <c r="O280" s="178"/>
      <c r="P280" s="178"/>
      <c r="Q280" s="178"/>
      <c r="R280" s="178"/>
      <c r="S280" s="178"/>
      <c r="T280" s="178"/>
      <c r="U280" s="178"/>
      <c r="V280" s="178"/>
      <c r="W280" s="178"/>
      <c r="X280" s="237"/>
      <c r="Y280" s="237"/>
      <c r="Z280" s="237"/>
      <c r="AA280" s="178"/>
      <c r="AB280" s="178"/>
      <c r="AC280" s="178"/>
      <c r="AD280" s="237"/>
      <c r="AE280" s="237"/>
      <c r="AF280" s="32"/>
    </row>
    <row r="281" spans="2:39" s="31" customFormat="1">
      <c r="B281" s="35"/>
      <c r="C281" s="178"/>
      <c r="D281" s="178"/>
      <c r="E281" s="178"/>
      <c r="F281" s="178"/>
      <c r="G281" s="178"/>
      <c r="H281" s="178"/>
      <c r="I281" s="178"/>
      <c r="J281" s="178"/>
      <c r="K281" s="178"/>
      <c r="L281" s="178"/>
      <c r="M281" s="178"/>
      <c r="N281" s="178"/>
      <c r="O281" s="178"/>
      <c r="P281" s="178"/>
      <c r="Q281" s="178"/>
      <c r="R281" s="178"/>
      <c r="S281" s="178"/>
      <c r="T281" s="178"/>
      <c r="U281" s="178"/>
      <c r="V281" s="178"/>
      <c r="W281" s="178"/>
      <c r="X281" s="237"/>
      <c r="Y281" s="237"/>
      <c r="Z281" s="237"/>
      <c r="AA281" s="178"/>
      <c r="AB281" s="178"/>
      <c r="AC281" s="178"/>
      <c r="AD281" s="237"/>
      <c r="AE281" s="237"/>
      <c r="AF281" s="32"/>
    </row>
    <row r="282" spans="2:39" s="31" customFormat="1">
      <c r="B282" s="35"/>
      <c r="C282" s="178"/>
      <c r="D282" s="178"/>
      <c r="E282" s="178"/>
      <c r="F282" s="178"/>
      <c r="G282" s="178"/>
      <c r="H282" s="178"/>
      <c r="I282" s="178"/>
      <c r="J282" s="178"/>
      <c r="K282" s="178"/>
      <c r="L282" s="178"/>
      <c r="M282" s="178"/>
      <c r="N282" s="178"/>
      <c r="O282" s="178"/>
      <c r="P282" s="178"/>
      <c r="Q282" s="178"/>
      <c r="R282" s="178"/>
      <c r="S282" s="178"/>
      <c r="T282" s="178"/>
      <c r="U282" s="178"/>
      <c r="V282" s="178"/>
      <c r="W282" s="178"/>
      <c r="X282" s="237"/>
      <c r="Y282" s="237"/>
      <c r="Z282" s="237"/>
      <c r="AA282" s="178"/>
      <c r="AB282" s="178"/>
      <c r="AC282" s="178"/>
      <c r="AD282" s="237"/>
      <c r="AE282" s="237"/>
      <c r="AF282" s="32"/>
    </row>
    <row r="283" spans="2:39" s="31" customFormat="1">
      <c r="B283" s="35"/>
      <c r="C283" s="178"/>
      <c r="D283" s="178"/>
      <c r="E283" s="178"/>
      <c r="F283" s="178"/>
      <c r="G283" s="178"/>
      <c r="H283" s="178"/>
      <c r="I283" s="178"/>
      <c r="J283" s="178"/>
      <c r="K283" s="178"/>
      <c r="L283" s="178"/>
      <c r="M283" s="178"/>
      <c r="N283" s="178"/>
      <c r="O283" s="178"/>
      <c r="P283" s="178"/>
      <c r="Q283" s="178"/>
      <c r="R283" s="178"/>
      <c r="S283" s="178"/>
      <c r="T283" s="178"/>
      <c r="U283" s="178"/>
      <c r="V283" s="178"/>
      <c r="W283" s="178"/>
      <c r="X283" s="237"/>
      <c r="Y283" s="237"/>
      <c r="Z283" s="237"/>
      <c r="AA283" s="178"/>
      <c r="AB283" s="178"/>
      <c r="AC283" s="178"/>
      <c r="AD283" s="237"/>
      <c r="AE283" s="237"/>
      <c r="AF283" s="32"/>
    </row>
    <row r="284" spans="2:39" s="31" customFormat="1">
      <c r="B284" s="35"/>
      <c r="C284" s="178"/>
      <c r="D284" s="178"/>
      <c r="E284" s="178"/>
      <c r="F284" s="178"/>
      <c r="G284" s="178"/>
      <c r="H284" s="178"/>
      <c r="I284" s="178"/>
      <c r="J284" s="178"/>
      <c r="K284" s="178"/>
      <c r="L284" s="178"/>
      <c r="M284" s="178"/>
      <c r="N284" s="178"/>
      <c r="O284" s="178"/>
      <c r="P284" s="178"/>
      <c r="Q284" s="178"/>
      <c r="R284" s="178"/>
      <c r="S284" s="178"/>
      <c r="T284" s="178"/>
      <c r="U284" s="178"/>
      <c r="V284" s="178"/>
      <c r="W284" s="178"/>
      <c r="X284" s="237"/>
      <c r="Y284" s="237"/>
      <c r="Z284" s="237"/>
      <c r="AA284" s="178"/>
      <c r="AB284" s="178"/>
      <c r="AC284" s="178"/>
      <c r="AD284" s="237"/>
      <c r="AE284" s="237"/>
      <c r="AF284" s="32"/>
    </row>
    <row r="285" spans="2:39" s="31" customFormat="1">
      <c r="B285" s="35"/>
      <c r="C285" s="178"/>
      <c r="D285" s="178"/>
      <c r="E285" s="178"/>
      <c r="F285" s="178"/>
      <c r="G285" s="178"/>
      <c r="H285" s="178"/>
      <c r="I285" s="178"/>
      <c r="J285" s="178"/>
      <c r="K285" s="178"/>
      <c r="L285" s="178"/>
      <c r="M285" s="178"/>
      <c r="N285" s="178"/>
      <c r="O285" s="178"/>
      <c r="P285" s="178"/>
      <c r="Q285" s="178"/>
      <c r="R285" s="178"/>
      <c r="S285" s="178"/>
      <c r="T285" s="178"/>
      <c r="U285" s="178"/>
      <c r="V285" s="178"/>
      <c r="W285" s="178"/>
      <c r="X285" s="237"/>
      <c r="Y285" s="237"/>
      <c r="Z285" s="237"/>
      <c r="AA285" s="178"/>
      <c r="AB285" s="178"/>
      <c r="AC285" s="178"/>
      <c r="AD285" s="237"/>
      <c r="AE285" s="237"/>
      <c r="AF285" s="32"/>
    </row>
    <row r="286" spans="2:39" s="31" customFormat="1">
      <c r="B286" s="35"/>
      <c r="C286" s="178"/>
      <c r="D286" s="178"/>
      <c r="E286" s="178"/>
      <c r="F286" s="178"/>
      <c r="G286" s="178"/>
      <c r="H286" s="178"/>
      <c r="I286" s="178"/>
      <c r="J286" s="178"/>
      <c r="K286" s="178"/>
      <c r="L286" s="178"/>
      <c r="M286" s="178"/>
      <c r="N286" s="178"/>
      <c r="O286" s="178"/>
      <c r="P286" s="178"/>
      <c r="Q286" s="178"/>
      <c r="R286" s="178"/>
      <c r="S286" s="178"/>
      <c r="T286" s="178"/>
      <c r="U286" s="178"/>
      <c r="V286" s="178"/>
      <c r="W286" s="178"/>
      <c r="X286" s="178"/>
      <c r="Y286" s="178"/>
      <c r="Z286" s="178"/>
      <c r="AA286" s="178"/>
      <c r="AB286" s="178"/>
      <c r="AC286" s="178"/>
      <c r="AD286" s="237"/>
      <c r="AE286" s="237"/>
      <c r="AF286" s="32"/>
    </row>
    <row r="287" spans="2:39" s="31" customFormat="1">
      <c r="B287" s="35"/>
      <c r="C287" s="178"/>
      <c r="D287" s="178"/>
      <c r="E287" s="178"/>
      <c r="F287" s="178"/>
      <c r="G287" s="178"/>
      <c r="H287" s="178"/>
      <c r="I287" s="178"/>
      <c r="J287" s="178"/>
      <c r="K287" s="178"/>
      <c r="L287" s="178"/>
      <c r="M287" s="178"/>
      <c r="N287" s="178"/>
      <c r="O287" s="178"/>
      <c r="P287" s="178"/>
      <c r="Q287" s="178"/>
      <c r="R287" s="178"/>
      <c r="S287" s="178"/>
      <c r="T287" s="178"/>
      <c r="U287" s="178"/>
      <c r="V287" s="178"/>
      <c r="W287" s="178"/>
      <c r="X287" s="178"/>
      <c r="Y287" s="178"/>
      <c r="Z287" s="178"/>
      <c r="AA287" s="178"/>
      <c r="AB287" s="178"/>
      <c r="AC287" s="178"/>
      <c r="AD287" s="237"/>
      <c r="AE287" s="237"/>
      <c r="AF287" s="32"/>
    </row>
    <row r="288" spans="2:39" s="31" customFormat="1">
      <c r="B288" s="35"/>
      <c r="C288" s="178"/>
      <c r="D288" s="178"/>
      <c r="E288" s="178"/>
      <c r="F288" s="178"/>
      <c r="G288" s="178"/>
      <c r="H288" s="178"/>
      <c r="I288" s="178"/>
      <c r="J288" s="178"/>
      <c r="K288" s="178"/>
      <c r="L288" s="178"/>
      <c r="M288" s="178"/>
      <c r="N288" s="178"/>
      <c r="O288" s="178"/>
      <c r="P288" s="178"/>
      <c r="Q288" s="178"/>
      <c r="R288" s="178"/>
      <c r="S288" s="178"/>
      <c r="T288" s="178"/>
      <c r="U288" s="178"/>
      <c r="V288" s="178"/>
      <c r="W288" s="178"/>
      <c r="X288" s="178"/>
      <c r="Y288" s="178"/>
      <c r="Z288" s="178"/>
      <c r="AA288" s="178"/>
      <c r="AB288" s="178"/>
      <c r="AC288" s="178"/>
      <c r="AD288" s="237"/>
      <c r="AE288" s="237"/>
      <c r="AF288" s="32"/>
    </row>
    <row r="289" spans="2:32" s="31" customFormat="1">
      <c r="B289" s="35"/>
      <c r="C289" s="178"/>
      <c r="D289" s="178"/>
      <c r="E289" s="178"/>
      <c r="F289" s="178"/>
      <c r="G289" s="178"/>
      <c r="H289" s="178"/>
      <c r="I289" s="178"/>
      <c r="J289" s="178"/>
      <c r="K289" s="178"/>
      <c r="L289" s="178"/>
      <c r="M289" s="178"/>
      <c r="N289" s="178"/>
      <c r="O289" s="178"/>
      <c r="P289" s="178"/>
      <c r="Q289" s="178"/>
      <c r="R289" s="178"/>
      <c r="S289" s="178"/>
      <c r="T289" s="178"/>
      <c r="U289" s="178"/>
      <c r="V289" s="178"/>
      <c r="W289" s="178"/>
      <c r="X289" s="178"/>
      <c r="Y289" s="178"/>
      <c r="Z289" s="178"/>
      <c r="AA289" s="178"/>
      <c r="AB289" s="178"/>
      <c r="AC289" s="178"/>
      <c r="AD289" s="237"/>
      <c r="AE289" s="237"/>
      <c r="AF289" s="32"/>
    </row>
    <row r="290" spans="2:32" s="31" customFormat="1">
      <c r="B290" s="35"/>
      <c r="C290" s="178"/>
      <c r="D290" s="178"/>
      <c r="E290" s="178"/>
      <c r="F290" s="178"/>
      <c r="G290" s="178"/>
      <c r="H290" s="178"/>
      <c r="I290" s="178"/>
      <c r="J290" s="178"/>
      <c r="K290" s="178"/>
      <c r="L290" s="178"/>
      <c r="M290" s="178"/>
      <c r="N290" s="178"/>
      <c r="O290" s="178"/>
      <c r="P290" s="178"/>
      <c r="Q290" s="178"/>
      <c r="R290" s="178"/>
      <c r="S290" s="178"/>
      <c r="T290" s="178"/>
      <c r="U290" s="178"/>
      <c r="V290" s="178"/>
      <c r="W290" s="178"/>
      <c r="X290" s="178"/>
      <c r="Y290" s="178"/>
      <c r="Z290" s="178"/>
      <c r="AA290" s="178"/>
      <c r="AB290" s="178"/>
      <c r="AC290" s="178"/>
      <c r="AD290" s="237"/>
      <c r="AE290" s="237"/>
      <c r="AF290" s="32"/>
    </row>
    <row r="291" spans="2:32" s="31" customFormat="1">
      <c r="B291" s="35"/>
      <c r="C291" s="178"/>
      <c r="D291" s="178"/>
      <c r="E291" s="178"/>
      <c r="F291" s="178"/>
      <c r="G291" s="178"/>
      <c r="H291" s="178"/>
      <c r="I291" s="178"/>
      <c r="J291" s="178"/>
      <c r="K291" s="178"/>
      <c r="L291" s="178"/>
      <c r="M291" s="178"/>
      <c r="N291" s="178"/>
      <c r="O291" s="178"/>
      <c r="P291" s="178"/>
      <c r="Q291" s="178"/>
      <c r="R291" s="178"/>
      <c r="S291" s="178"/>
      <c r="T291" s="178"/>
      <c r="U291" s="178"/>
      <c r="V291" s="178"/>
      <c r="W291" s="178"/>
      <c r="X291" s="178"/>
      <c r="Y291" s="178"/>
      <c r="Z291" s="178"/>
      <c r="AA291" s="178"/>
      <c r="AB291" s="178"/>
      <c r="AC291" s="178"/>
      <c r="AD291" s="237"/>
      <c r="AE291" s="237"/>
      <c r="AF291" s="32"/>
    </row>
    <row r="292" spans="2:32" s="31" customFormat="1">
      <c r="B292" s="35"/>
      <c r="C292" s="178"/>
      <c r="D292" s="178"/>
      <c r="E292" s="178"/>
      <c r="F292" s="178"/>
      <c r="G292" s="178"/>
      <c r="H292" s="178"/>
      <c r="I292" s="178"/>
      <c r="J292" s="178"/>
      <c r="K292" s="178"/>
      <c r="L292" s="178"/>
      <c r="M292" s="178"/>
      <c r="N292" s="178"/>
      <c r="O292" s="178"/>
      <c r="P292" s="178"/>
      <c r="Q292" s="178"/>
      <c r="R292" s="178"/>
      <c r="S292" s="178"/>
      <c r="T292" s="178"/>
      <c r="U292" s="178"/>
      <c r="V292" s="178"/>
      <c r="W292" s="178"/>
      <c r="X292" s="178"/>
      <c r="Y292" s="178"/>
      <c r="Z292" s="178"/>
      <c r="AA292" s="178"/>
      <c r="AB292" s="178"/>
      <c r="AC292" s="178"/>
      <c r="AD292" s="237"/>
      <c r="AE292" s="237"/>
      <c r="AF292" s="32"/>
    </row>
    <row r="293" spans="2:32" s="31" customFormat="1">
      <c r="B293" s="35"/>
      <c r="C293" s="178"/>
      <c r="D293" s="178"/>
      <c r="E293" s="178"/>
      <c r="F293" s="178"/>
      <c r="G293" s="178"/>
      <c r="H293" s="178"/>
      <c r="I293" s="178"/>
      <c r="J293" s="178"/>
      <c r="K293" s="178"/>
      <c r="L293" s="178"/>
      <c r="M293" s="178"/>
      <c r="N293" s="178"/>
      <c r="O293" s="178"/>
      <c r="P293" s="178"/>
      <c r="Q293" s="178"/>
      <c r="R293" s="178"/>
      <c r="S293" s="178"/>
      <c r="T293" s="178"/>
      <c r="U293" s="178"/>
      <c r="V293" s="178"/>
      <c r="W293" s="178"/>
      <c r="X293" s="178"/>
      <c r="Y293" s="178"/>
      <c r="Z293" s="178"/>
      <c r="AA293" s="178"/>
      <c r="AB293" s="178"/>
      <c r="AC293" s="178"/>
      <c r="AD293" s="237"/>
      <c r="AE293" s="237"/>
      <c r="AF293" s="32"/>
    </row>
    <row r="294" spans="2:32" s="31" customFormat="1">
      <c r="B294" s="35"/>
      <c r="C294" s="178"/>
      <c r="D294" s="178"/>
      <c r="E294" s="178"/>
      <c r="F294" s="178"/>
      <c r="G294" s="178"/>
      <c r="H294" s="178"/>
      <c r="I294" s="178"/>
      <c r="J294" s="178"/>
      <c r="K294" s="178"/>
      <c r="L294" s="178"/>
      <c r="M294" s="178"/>
      <c r="N294" s="178"/>
      <c r="O294" s="178"/>
      <c r="P294" s="178"/>
      <c r="Q294" s="178"/>
      <c r="R294" s="178"/>
      <c r="S294" s="178"/>
      <c r="T294" s="178"/>
      <c r="U294" s="178"/>
      <c r="V294" s="178"/>
      <c r="W294" s="178"/>
      <c r="X294" s="178"/>
      <c r="Y294" s="178"/>
      <c r="Z294" s="178"/>
      <c r="AA294" s="178"/>
      <c r="AB294" s="178"/>
      <c r="AC294" s="178"/>
      <c r="AD294" s="237"/>
      <c r="AE294" s="237"/>
      <c r="AF294" s="32"/>
    </row>
    <row r="295" spans="2:32" s="31" customFormat="1">
      <c r="B295" s="35"/>
      <c r="C295" s="178"/>
      <c r="D295" s="178"/>
      <c r="E295" s="178"/>
      <c r="F295" s="178"/>
      <c r="G295" s="178"/>
      <c r="H295" s="178"/>
      <c r="I295" s="178"/>
      <c r="J295" s="178"/>
      <c r="K295" s="178"/>
      <c r="L295" s="178"/>
      <c r="M295" s="178"/>
      <c r="N295" s="178"/>
      <c r="O295" s="178"/>
      <c r="P295" s="178"/>
      <c r="Q295" s="178"/>
      <c r="R295" s="178"/>
      <c r="S295" s="178"/>
      <c r="T295" s="178"/>
      <c r="U295" s="178"/>
      <c r="V295" s="178"/>
      <c r="W295" s="178"/>
      <c r="X295" s="178"/>
      <c r="Y295" s="178"/>
      <c r="Z295" s="178"/>
      <c r="AA295" s="178"/>
      <c r="AB295" s="178"/>
      <c r="AC295" s="178"/>
      <c r="AD295" s="237"/>
      <c r="AE295" s="237"/>
      <c r="AF295" s="32"/>
    </row>
    <row r="296" spans="2:32" s="31" customFormat="1">
      <c r="B296" s="35"/>
      <c r="C296" s="178"/>
      <c r="D296" s="178"/>
      <c r="E296" s="178"/>
      <c r="F296" s="178"/>
      <c r="G296" s="178"/>
      <c r="H296" s="178"/>
      <c r="I296" s="178"/>
      <c r="J296" s="178"/>
      <c r="K296" s="178"/>
      <c r="L296" s="178"/>
      <c r="M296" s="178"/>
      <c r="N296" s="178"/>
      <c r="O296" s="178"/>
      <c r="P296" s="178"/>
      <c r="Q296" s="178"/>
      <c r="R296" s="178"/>
      <c r="S296" s="178"/>
      <c r="T296" s="178"/>
      <c r="U296" s="178"/>
      <c r="V296" s="178"/>
      <c r="W296" s="178"/>
      <c r="X296" s="178"/>
      <c r="Y296" s="178"/>
      <c r="Z296" s="178"/>
      <c r="AA296" s="178"/>
      <c r="AB296" s="178"/>
      <c r="AC296" s="178"/>
      <c r="AD296" s="237"/>
      <c r="AE296" s="237"/>
      <c r="AF296" s="32"/>
    </row>
    <row r="297" spans="2:32" s="31" customFormat="1">
      <c r="B297" s="35"/>
      <c r="C297" s="178"/>
      <c r="D297" s="178"/>
      <c r="E297" s="178"/>
      <c r="F297" s="178"/>
      <c r="G297" s="178"/>
      <c r="H297" s="178"/>
      <c r="I297" s="178"/>
      <c r="J297" s="178"/>
      <c r="K297" s="178"/>
      <c r="L297" s="178"/>
      <c r="M297" s="178"/>
      <c r="N297" s="178"/>
      <c r="O297" s="178"/>
      <c r="P297" s="178"/>
      <c r="Q297" s="178"/>
      <c r="R297" s="178"/>
      <c r="S297" s="178"/>
      <c r="T297" s="178"/>
      <c r="U297" s="178"/>
      <c r="V297" s="178"/>
      <c r="W297" s="178"/>
      <c r="X297" s="178"/>
      <c r="Y297" s="178"/>
      <c r="Z297" s="178"/>
      <c r="AA297" s="178"/>
      <c r="AB297" s="178"/>
      <c r="AC297" s="178"/>
      <c r="AD297" s="237"/>
      <c r="AE297" s="237"/>
      <c r="AF297" s="32"/>
    </row>
    <row r="298" spans="2:32" s="31" customFormat="1">
      <c r="B298" s="35"/>
      <c r="C298" s="178"/>
      <c r="D298" s="178"/>
      <c r="E298" s="178"/>
      <c r="F298" s="178"/>
      <c r="G298" s="178"/>
      <c r="H298" s="178"/>
      <c r="I298" s="178"/>
      <c r="J298" s="178"/>
      <c r="K298" s="178"/>
      <c r="L298" s="178"/>
      <c r="M298" s="178"/>
      <c r="N298" s="178"/>
      <c r="O298" s="178"/>
      <c r="P298" s="178"/>
      <c r="Q298" s="178"/>
      <c r="R298" s="178"/>
      <c r="S298" s="178"/>
      <c r="T298" s="178"/>
      <c r="U298" s="178"/>
      <c r="V298" s="178"/>
      <c r="W298" s="178"/>
      <c r="X298" s="178"/>
      <c r="Y298" s="178"/>
      <c r="Z298" s="178"/>
      <c r="AA298" s="178"/>
      <c r="AB298" s="178"/>
      <c r="AC298" s="178"/>
      <c r="AD298" s="237"/>
      <c r="AE298" s="237"/>
      <c r="AF298" s="32"/>
    </row>
    <row r="299" spans="2:32" s="31" customFormat="1">
      <c r="B299" s="35"/>
      <c r="C299" s="178"/>
      <c r="D299" s="178"/>
      <c r="E299" s="178"/>
      <c r="F299" s="178"/>
      <c r="G299" s="178"/>
      <c r="H299" s="178"/>
      <c r="I299" s="178"/>
      <c r="J299" s="178"/>
      <c r="K299" s="178"/>
      <c r="L299" s="178"/>
      <c r="M299" s="178"/>
      <c r="N299" s="178"/>
      <c r="O299" s="178"/>
      <c r="P299" s="178"/>
      <c r="Q299" s="178"/>
      <c r="R299" s="178"/>
      <c r="S299" s="178"/>
      <c r="T299" s="178"/>
      <c r="U299" s="178"/>
      <c r="V299" s="178"/>
      <c r="W299" s="178"/>
      <c r="X299" s="178"/>
      <c r="Y299" s="178"/>
      <c r="Z299" s="178"/>
      <c r="AA299" s="178"/>
      <c r="AB299" s="178"/>
      <c r="AC299" s="178"/>
      <c r="AD299" s="237"/>
      <c r="AE299" s="237"/>
      <c r="AF299" s="32"/>
    </row>
    <row r="300" spans="2:32" s="31" customFormat="1">
      <c r="B300" s="35"/>
      <c r="C300" s="178"/>
      <c r="D300" s="178"/>
      <c r="E300" s="178"/>
      <c r="F300" s="178"/>
      <c r="G300" s="178"/>
      <c r="H300" s="178"/>
      <c r="I300" s="178"/>
      <c r="J300" s="178"/>
      <c r="K300" s="178"/>
      <c r="L300" s="178"/>
      <c r="M300" s="178"/>
      <c r="N300" s="178"/>
      <c r="O300" s="178"/>
      <c r="P300" s="178"/>
      <c r="Q300" s="178"/>
      <c r="R300" s="178"/>
      <c r="S300" s="178"/>
      <c r="T300" s="178"/>
      <c r="U300" s="178"/>
      <c r="V300" s="178"/>
      <c r="W300" s="178"/>
      <c r="X300" s="178"/>
      <c r="Y300" s="178"/>
      <c r="Z300" s="178"/>
      <c r="AA300" s="178"/>
      <c r="AB300" s="178"/>
      <c r="AC300" s="178"/>
      <c r="AD300" s="237"/>
      <c r="AE300" s="237"/>
      <c r="AF300" s="32"/>
    </row>
    <row r="301" spans="2:32" s="31" customFormat="1">
      <c r="B301" s="35"/>
      <c r="C301" s="178"/>
      <c r="D301" s="178"/>
      <c r="E301" s="178"/>
      <c r="F301" s="178"/>
      <c r="G301" s="178"/>
      <c r="H301" s="178"/>
      <c r="I301" s="178"/>
      <c r="J301" s="178"/>
      <c r="K301" s="178"/>
      <c r="L301" s="178"/>
      <c r="M301" s="178"/>
      <c r="N301" s="178"/>
      <c r="O301" s="178"/>
      <c r="P301" s="178"/>
      <c r="Q301" s="178"/>
      <c r="R301" s="178"/>
      <c r="S301" s="178"/>
      <c r="T301" s="178"/>
      <c r="U301" s="178"/>
      <c r="V301" s="178"/>
      <c r="W301" s="178"/>
      <c r="X301" s="178"/>
      <c r="Y301" s="178"/>
      <c r="Z301" s="178"/>
      <c r="AA301" s="178"/>
      <c r="AB301" s="178"/>
      <c r="AC301" s="178"/>
      <c r="AD301" s="237"/>
      <c r="AE301" s="237"/>
      <c r="AF301" s="32"/>
    </row>
    <row r="302" spans="2:32" s="31" customFormat="1">
      <c r="B302" s="35"/>
      <c r="C302" s="178"/>
      <c r="D302" s="178"/>
      <c r="E302" s="178"/>
      <c r="F302" s="178"/>
      <c r="G302" s="178"/>
      <c r="H302" s="178"/>
      <c r="I302" s="178"/>
      <c r="J302" s="178"/>
      <c r="K302" s="178"/>
      <c r="L302" s="178"/>
      <c r="M302" s="178"/>
      <c r="N302" s="178"/>
      <c r="O302" s="178"/>
      <c r="P302" s="178"/>
      <c r="Q302" s="178"/>
      <c r="R302" s="178"/>
      <c r="S302" s="178"/>
      <c r="T302" s="178"/>
      <c r="U302" s="178"/>
      <c r="V302" s="178"/>
      <c r="W302" s="178"/>
      <c r="X302" s="178"/>
      <c r="Y302" s="178"/>
      <c r="Z302" s="178"/>
      <c r="AA302" s="178"/>
      <c r="AB302" s="178"/>
      <c r="AC302" s="178"/>
      <c r="AD302" s="237"/>
      <c r="AE302" s="237"/>
      <c r="AF302" s="32"/>
    </row>
    <row r="303" spans="2:32" s="31" customFormat="1">
      <c r="B303" s="35"/>
      <c r="C303" s="178"/>
      <c r="D303" s="178"/>
      <c r="E303" s="178"/>
      <c r="F303" s="178"/>
      <c r="G303" s="178"/>
      <c r="H303" s="178"/>
      <c r="I303" s="178"/>
      <c r="J303" s="178"/>
      <c r="K303" s="178"/>
      <c r="L303" s="178"/>
      <c r="M303" s="178"/>
      <c r="N303" s="178"/>
      <c r="O303" s="178"/>
      <c r="P303" s="178"/>
      <c r="Q303" s="178"/>
      <c r="R303" s="178"/>
      <c r="S303" s="178"/>
      <c r="T303" s="178"/>
      <c r="U303" s="178"/>
      <c r="V303" s="178"/>
      <c r="W303" s="178"/>
      <c r="X303" s="178"/>
      <c r="Y303" s="178"/>
      <c r="Z303" s="178"/>
      <c r="AA303" s="178"/>
      <c r="AB303" s="178"/>
      <c r="AC303" s="178"/>
      <c r="AD303" s="237"/>
      <c r="AE303" s="237"/>
      <c r="AF303" s="32"/>
    </row>
    <row r="304" spans="2:32" s="31" customFormat="1">
      <c r="B304" s="35"/>
      <c r="C304" s="178"/>
      <c r="D304" s="178"/>
      <c r="E304" s="178"/>
      <c r="F304" s="178"/>
      <c r="G304" s="178"/>
      <c r="H304" s="178"/>
      <c r="I304" s="178"/>
      <c r="J304" s="178"/>
      <c r="K304" s="178"/>
      <c r="L304" s="178"/>
      <c r="M304" s="178"/>
      <c r="N304" s="178"/>
      <c r="O304" s="178"/>
      <c r="P304" s="178"/>
      <c r="Q304" s="178"/>
      <c r="R304" s="178"/>
      <c r="S304" s="178"/>
      <c r="T304" s="178"/>
      <c r="U304" s="178"/>
      <c r="V304" s="178"/>
      <c r="W304" s="178"/>
      <c r="X304" s="178"/>
      <c r="Y304" s="178"/>
      <c r="Z304" s="178"/>
      <c r="AA304" s="178"/>
      <c r="AB304" s="178"/>
      <c r="AC304" s="178"/>
      <c r="AD304" s="237"/>
      <c r="AE304" s="237"/>
      <c r="AF304" s="32"/>
    </row>
    <row r="305" spans="2:32" s="31" customFormat="1">
      <c r="B305" s="35"/>
      <c r="C305" s="178"/>
      <c r="D305" s="178"/>
      <c r="E305" s="178"/>
      <c r="F305" s="178"/>
      <c r="G305" s="178"/>
      <c r="H305" s="178"/>
      <c r="I305" s="178"/>
      <c r="J305" s="178"/>
      <c r="K305" s="178"/>
      <c r="L305" s="178"/>
      <c r="M305" s="178"/>
      <c r="N305" s="178"/>
      <c r="O305" s="178"/>
      <c r="P305" s="178"/>
      <c r="Q305" s="178"/>
      <c r="R305" s="178"/>
      <c r="S305" s="178"/>
      <c r="T305" s="178"/>
      <c r="U305" s="178"/>
      <c r="V305" s="178"/>
      <c r="W305" s="178"/>
      <c r="X305" s="178"/>
      <c r="Y305" s="178"/>
      <c r="Z305" s="178"/>
      <c r="AA305" s="178"/>
      <c r="AB305" s="178"/>
      <c r="AC305" s="178"/>
      <c r="AD305" s="237"/>
      <c r="AE305" s="237"/>
      <c r="AF305" s="32"/>
    </row>
    <row r="306" spans="2:32" s="31" customFormat="1">
      <c r="B306"/>
      <c r="C306" s="166"/>
      <c r="D306" s="166"/>
      <c r="E306" s="166"/>
      <c r="F306" s="166"/>
      <c r="G306" s="166"/>
      <c r="H306" s="166"/>
      <c r="I306" s="166"/>
      <c r="J306" s="666"/>
      <c r="K306" s="666"/>
      <c r="L306" s="166"/>
      <c r="M306" s="166"/>
      <c r="N306" s="166"/>
      <c r="O306" s="666"/>
      <c r="P306" s="666"/>
      <c r="Q306" s="166"/>
      <c r="R306" s="166"/>
      <c r="S306" s="166"/>
      <c r="T306" s="666"/>
      <c r="U306" s="666"/>
      <c r="V306" s="166"/>
      <c r="W306" s="166"/>
      <c r="X306" s="166"/>
      <c r="Y306" s="666"/>
      <c r="Z306" s="666"/>
      <c r="AA306" s="166"/>
      <c r="AB306" s="166"/>
      <c r="AC306" s="166"/>
      <c r="AD306" s="169"/>
      <c r="AE306" s="237"/>
      <c r="AF306" s="32"/>
    </row>
    <row r="307" spans="2:32" s="31" customFormat="1">
      <c r="B307" s="839" t="s">
        <v>484</v>
      </c>
      <c r="C307" s="652">
        <v>2013</v>
      </c>
      <c r="D307" s="652">
        <v>2014</v>
      </c>
      <c r="E307" s="652">
        <v>2015</v>
      </c>
      <c r="F307" s="652">
        <v>2016</v>
      </c>
      <c r="G307" s="652">
        <v>2017</v>
      </c>
      <c r="H307" s="652">
        <v>2018</v>
      </c>
      <c r="I307" s="652">
        <v>2019</v>
      </c>
      <c r="J307" s="170">
        <v>2020</v>
      </c>
      <c r="K307" s="170">
        <v>2021</v>
      </c>
      <c r="L307" s="654">
        <v>2022</v>
      </c>
      <c r="M307" s="652">
        <v>2023</v>
      </c>
      <c r="N307" s="652">
        <v>2024</v>
      </c>
      <c r="O307" s="170">
        <v>2025</v>
      </c>
      <c r="P307" s="170">
        <v>2026</v>
      </c>
      <c r="Q307" s="654">
        <v>2027</v>
      </c>
      <c r="R307" s="652">
        <v>2028</v>
      </c>
      <c r="S307" s="652">
        <v>2029</v>
      </c>
      <c r="T307" s="170">
        <v>2030</v>
      </c>
      <c r="U307" s="170">
        <v>2031</v>
      </c>
      <c r="V307" s="654">
        <v>2032</v>
      </c>
      <c r="W307" s="652">
        <v>2033</v>
      </c>
      <c r="X307" s="652">
        <v>2034</v>
      </c>
      <c r="Y307" s="653">
        <v>2035</v>
      </c>
      <c r="Z307" s="652">
        <v>2036</v>
      </c>
      <c r="AA307" s="653">
        <v>2037</v>
      </c>
      <c r="AB307" s="652">
        <v>2038</v>
      </c>
      <c r="AC307" s="653">
        <v>2039</v>
      </c>
      <c r="AD307" s="170">
        <v>2040</v>
      </c>
      <c r="AE307" s="237"/>
      <c r="AF307" s="32"/>
    </row>
    <row r="308" spans="2:32" s="31" customFormat="1">
      <c r="B308" s="40" t="s">
        <v>103</v>
      </c>
      <c r="C308" s="179">
        <f t="shared" ref="C308:AD308" si="124">+D9+D21</f>
        <v>2526</v>
      </c>
      <c r="D308" s="179">
        <f t="shared" si="124"/>
        <v>2498.3200000000002</v>
      </c>
      <c r="E308" s="179">
        <f t="shared" si="124"/>
        <v>2460.8000000000002</v>
      </c>
      <c r="F308" s="179">
        <f t="shared" si="124"/>
        <v>2427.3000000000002</v>
      </c>
      <c r="G308" s="179">
        <f t="shared" si="124"/>
        <v>2359.6491000000001</v>
      </c>
      <c r="H308" s="179">
        <f t="shared" si="124"/>
        <v>2294.0102000000002</v>
      </c>
      <c r="I308" s="179">
        <f t="shared" si="124"/>
        <v>2228.3713000000002</v>
      </c>
      <c r="J308" s="179">
        <f t="shared" si="124"/>
        <v>2162.7323999999999</v>
      </c>
      <c r="K308" s="179">
        <f t="shared" si="124"/>
        <v>2079.3402857142855</v>
      </c>
      <c r="L308" s="179">
        <f t="shared" si="124"/>
        <v>1995.9481714285716</v>
      </c>
      <c r="M308" s="179">
        <f t="shared" si="124"/>
        <v>1839.4907714285714</v>
      </c>
      <c r="N308" s="179">
        <f t="shared" si="124"/>
        <v>1683.0333714285716</v>
      </c>
      <c r="O308" s="179">
        <f t="shared" si="124"/>
        <v>1526.5759714285716</v>
      </c>
      <c r="P308" s="179">
        <f t="shared" si="124"/>
        <v>1370.1185714285718</v>
      </c>
      <c r="Q308" s="179">
        <f t="shared" si="124"/>
        <v>1174.3873469387759</v>
      </c>
      <c r="R308" s="179">
        <f t="shared" si="124"/>
        <v>978.65612244897989</v>
      </c>
      <c r="S308" s="179">
        <f t="shared" si="124"/>
        <v>782.92489795918402</v>
      </c>
      <c r="T308" s="179">
        <f t="shared" si="124"/>
        <v>587.19367346938805</v>
      </c>
      <c r="U308" s="179">
        <f t="shared" si="124"/>
        <v>391.46244897959207</v>
      </c>
      <c r="V308" s="179">
        <f t="shared" si="124"/>
        <v>195.73122448979615</v>
      </c>
      <c r="W308" s="179">
        <f t="shared" si="124"/>
        <v>1.7053025658242404E-13</v>
      </c>
      <c r="X308" s="179">
        <f t="shared" si="124"/>
        <v>0</v>
      </c>
      <c r="Y308" s="179">
        <f t="shared" si="124"/>
        <v>0</v>
      </c>
      <c r="Z308" s="179">
        <f t="shared" si="124"/>
        <v>0</v>
      </c>
      <c r="AA308" s="179">
        <f t="shared" si="124"/>
        <v>0</v>
      </c>
      <c r="AB308" s="179">
        <f t="shared" si="124"/>
        <v>0</v>
      </c>
      <c r="AC308" s="179">
        <f t="shared" si="124"/>
        <v>0</v>
      </c>
      <c r="AD308" s="179">
        <f t="shared" si="124"/>
        <v>0</v>
      </c>
      <c r="AE308" s="237"/>
      <c r="AF308" s="32"/>
    </row>
    <row r="309" spans="2:32" s="31" customFormat="1">
      <c r="B309" s="40" t="s">
        <v>214</v>
      </c>
      <c r="C309" s="179">
        <f t="shared" ref="C309:AD309" si="125">+D10+D22</f>
        <v>714.9</v>
      </c>
      <c r="D309" s="179">
        <f t="shared" si="125"/>
        <v>1049.5999999999999</v>
      </c>
      <c r="E309" s="179">
        <f t="shared" si="125"/>
        <v>1047.7</v>
      </c>
      <c r="F309" s="179">
        <f t="shared" si="125"/>
        <v>1042.3</v>
      </c>
      <c r="G309" s="179">
        <f t="shared" si="125"/>
        <v>1042.3</v>
      </c>
      <c r="H309" s="179">
        <f t="shared" si="125"/>
        <v>1042.3</v>
      </c>
      <c r="I309" s="179">
        <f t="shared" si="125"/>
        <v>1042.3</v>
      </c>
      <c r="J309" s="179">
        <f t="shared" si="125"/>
        <v>1042.3</v>
      </c>
      <c r="K309" s="179">
        <f t="shared" si="125"/>
        <v>1042.3</v>
      </c>
      <c r="L309" s="179">
        <f t="shared" si="125"/>
        <v>1042.3</v>
      </c>
      <c r="M309" s="179">
        <f t="shared" si="125"/>
        <v>1042.3</v>
      </c>
      <c r="N309" s="179">
        <f t="shared" si="125"/>
        <v>1042.3</v>
      </c>
      <c r="O309" s="179">
        <f t="shared" si="125"/>
        <v>1042.3</v>
      </c>
      <c r="P309" s="179">
        <f t="shared" si="125"/>
        <v>1042.3</v>
      </c>
      <c r="Q309" s="179">
        <f t="shared" si="125"/>
        <v>1042.3</v>
      </c>
      <c r="R309" s="179">
        <f t="shared" si="125"/>
        <v>1042.3</v>
      </c>
      <c r="S309" s="179">
        <f t="shared" si="125"/>
        <v>1042.3</v>
      </c>
      <c r="T309" s="179">
        <f t="shared" si="125"/>
        <v>1042.3</v>
      </c>
      <c r="U309" s="179">
        <f t="shared" si="125"/>
        <v>1042.3</v>
      </c>
      <c r="V309" s="179">
        <f t="shared" si="125"/>
        <v>1042.3</v>
      </c>
      <c r="W309" s="179">
        <f t="shared" si="125"/>
        <v>1042.3</v>
      </c>
      <c r="X309" s="179">
        <f t="shared" si="125"/>
        <v>868.58333333333337</v>
      </c>
      <c r="Y309" s="179">
        <f t="shared" si="125"/>
        <v>694.86666666666667</v>
      </c>
      <c r="Z309" s="179">
        <f t="shared" si="125"/>
        <v>521.15</v>
      </c>
      <c r="AA309" s="179">
        <f t="shared" si="125"/>
        <v>347.43333333333334</v>
      </c>
      <c r="AB309" s="179">
        <f t="shared" si="125"/>
        <v>173.71666666666667</v>
      </c>
      <c r="AC309" s="179">
        <f t="shared" si="125"/>
        <v>0</v>
      </c>
      <c r="AD309" s="179">
        <f t="shared" si="125"/>
        <v>0</v>
      </c>
      <c r="AE309" s="237"/>
      <c r="AF309" s="32"/>
    </row>
    <row r="310" spans="2:32" s="31" customFormat="1">
      <c r="B310" s="40" t="s">
        <v>358</v>
      </c>
      <c r="C310" s="179">
        <f t="shared" ref="C310:AD310" si="126">+D11+D23</f>
        <v>0</v>
      </c>
      <c r="D310" s="179">
        <f t="shared" si="126"/>
        <v>0</v>
      </c>
      <c r="E310" s="179">
        <f t="shared" si="126"/>
        <v>106.27000000000001</v>
      </c>
      <c r="F310" s="179">
        <f t="shared" si="126"/>
        <v>339.53000000000003</v>
      </c>
      <c r="G310" s="179">
        <f t="shared" si="126"/>
        <v>549.53</v>
      </c>
      <c r="H310" s="179">
        <f t="shared" si="126"/>
        <v>759.53</v>
      </c>
      <c r="I310" s="179">
        <f t="shared" si="126"/>
        <v>950.16889999999989</v>
      </c>
      <c r="J310" s="179">
        <f t="shared" si="126"/>
        <v>1140.8078</v>
      </c>
      <c r="K310" s="179">
        <f t="shared" si="126"/>
        <v>1140.8078</v>
      </c>
      <c r="L310" s="179">
        <f t="shared" si="126"/>
        <v>1140.8078</v>
      </c>
      <c r="M310" s="179">
        <f t="shared" si="126"/>
        <v>1140.8078</v>
      </c>
      <c r="N310" s="179">
        <f t="shared" si="126"/>
        <v>1140.8078</v>
      </c>
      <c r="O310" s="179">
        <f t="shared" si="126"/>
        <v>1140.8078</v>
      </c>
      <c r="P310" s="179">
        <f t="shared" si="126"/>
        <v>1140.8078</v>
      </c>
      <c r="Q310" s="179">
        <f t="shared" si="126"/>
        <v>1140.8078</v>
      </c>
      <c r="R310" s="179">
        <f t="shared" si="126"/>
        <v>1140.8078</v>
      </c>
      <c r="S310" s="179">
        <f t="shared" si="126"/>
        <v>1140.8078</v>
      </c>
      <c r="T310" s="179">
        <f t="shared" si="126"/>
        <v>1140.8078</v>
      </c>
      <c r="U310" s="179">
        <f t="shared" si="126"/>
        <v>1140.8078</v>
      </c>
      <c r="V310" s="179">
        <f t="shared" si="126"/>
        <v>1140.8078</v>
      </c>
      <c r="W310" s="179">
        <f t="shared" si="126"/>
        <v>1140.8078</v>
      </c>
      <c r="X310" s="179">
        <f t="shared" si="126"/>
        <v>1140.8078</v>
      </c>
      <c r="Y310" s="179">
        <f t="shared" si="126"/>
        <v>1140.8078</v>
      </c>
      <c r="Z310" s="179">
        <f t="shared" si="126"/>
        <v>1140.8078</v>
      </c>
      <c r="AA310" s="179">
        <f t="shared" si="126"/>
        <v>1140.8078</v>
      </c>
      <c r="AB310" s="179">
        <f t="shared" si="126"/>
        <v>1140.8078</v>
      </c>
      <c r="AC310" s="179">
        <f t="shared" si="126"/>
        <v>1140.8078</v>
      </c>
      <c r="AD310" s="179">
        <f t="shared" si="126"/>
        <v>950.6731666666667</v>
      </c>
      <c r="AE310" s="237"/>
      <c r="AF310" s="32"/>
    </row>
    <row r="311" spans="2:32" s="31" customFormat="1">
      <c r="B311" s="40" t="s">
        <v>217</v>
      </c>
      <c r="C311" s="179">
        <f t="shared" ref="C311:AD311" si="127">+D12+D24</f>
        <v>0</v>
      </c>
      <c r="D311" s="179">
        <f t="shared" si="127"/>
        <v>0</v>
      </c>
      <c r="E311" s="179">
        <f t="shared" si="127"/>
        <v>0</v>
      </c>
      <c r="F311" s="179">
        <f t="shared" si="127"/>
        <v>0</v>
      </c>
      <c r="G311" s="179">
        <f t="shared" si="127"/>
        <v>0</v>
      </c>
      <c r="H311" s="179">
        <f t="shared" si="127"/>
        <v>0</v>
      </c>
      <c r="I311" s="179">
        <f t="shared" si="127"/>
        <v>0</v>
      </c>
      <c r="J311" s="179">
        <f t="shared" si="127"/>
        <v>0</v>
      </c>
      <c r="K311" s="179">
        <f t="shared" si="127"/>
        <v>208.39211428571423</v>
      </c>
      <c r="L311" s="179">
        <f t="shared" si="127"/>
        <v>416.78422857142846</v>
      </c>
      <c r="M311" s="179">
        <f t="shared" si="127"/>
        <v>698.24162857142846</v>
      </c>
      <c r="N311" s="179">
        <f t="shared" si="127"/>
        <v>979.69902857142836</v>
      </c>
      <c r="O311" s="179">
        <f t="shared" si="127"/>
        <v>1261.1564285714285</v>
      </c>
      <c r="P311" s="179">
        <f t="shared" si="127"/>
        <v>1542.6138285714283</v>
      </c>
      <c r="Q311" s="179">
        <f t="shared" si="127"/>
        <v>1863.345053061224</v>
      </c>
      <c r="R311" s="179">
        <f t="shared" si="127"/>
        <v>2184.0762775510202</v>
      </c>
      <c r="S311" s="179">
        <f t="shared" si="127"/>
        <v>2504.807502040816</v>
      </c>
      <c r="T311" s="179">
        <f t="shared" si="127"/>
        <v>2825.5387265306117</v>
      </c>
      <c r="U311" s="179">
        <f t="shared" si="127"/>
        <v>3146.2699510204075</v>
      </c>
      <c r="V311" s="179">
        <f t="shared" si="127"/>
        <v>3467.0011755102032</v>
      </c>
      <c r="W311" s="179">
        <f t="shared" si="127"/>
        <v>3787.732399999999</v>
      </c>
      <c r="X311" s="179">
        <f t="shared" si="127"/>
        <v>4086.4490666666657</v>
      </c>
      <c r="Y311" s="179">
        <f t="shared" si="127"/>
        <v>4385.1657333333324</v>
      </c>
      <c r="Z311" s="179">
        <f t="shared" si="127"/>
        <v>4683.8823999999995</v>
      </c>
      <c r="AA311" s="179">
        <f t="shared" si="127"/>
        <v>4982.5990666666657</v>
      </c>
      <c r="AB311" s="179">
        <f t="shared" si="127"/>
        <v>5281.3157333333329</v>
      </c>
      <c r="AC311" s="179">
        <f t="shared" si="127"/>
        <v>5580.0324000000001</v>
      </c>
      <c r="AD311" s="179">
        <f t="shared" si="127"/>
        <v>5895.1670333333332</v>
      </c>
      <c r="AE311" s="237"/>
      <c r="AF311" s="32"/>
    </row>
    <row r="312" spans="2:32" s="31" customFormat="1">
      <c r="B312" s="669" t="s">
        <v>356</v>
      </c>
      <c r="C312" s="655">
        <f t="shared" ref="C312:Y312" si="128">D204</f>
        <v>3240.8999999999996</v>
      </c>
      <c r="D312" s="655">
        <f t="shared" si="128"/>
        <v>3547.92</v>
      </c>
      <c r="E312" s="655">
        <f t="shared" si="128"/>
        <v>3624.5899999999997</v>
      </c>
      <c r="F312" s="655">
        <f t="shared" si="128"/>
        <v>3770.19</v>
      </c>
      <c r="G312" s="655">
        <f t="shared" si="128"/>
        <v>3919.8395</v>
      </c>
      <c r="H312" s="655">
        <f t="shared" si="128"/>
        <v>3969.8395</v>
      </c>
      <c r="I312" s="655">
        <f t="shared" si="128"/>
        <v>4019.8395000000005</v>
      </c>
      <c r="J312" s="655">
        <f t="shared" si="128"/>
        <v>4069.8395</v>
      </c>
      <c r="K312" s="655">
        <f t="shared" si="128"/>
        <v>4119.8395</v>
      </c>
      <c r="L312" s="655">
        <f t="shared" si="128"/>
        <v>4169.8395</v>
      </c>
      <c r="M312" s="655">
        <f t="shared" si="128"/>
        <v>4219.8395</v>
      </c>
      <c r="N312" s="655">
        <f t="shared" si="128"/>
        <v>4269.8395</v>
      </c>
      <c r="O312" s="655">
        <f t="shared" si="128"/>
        <v>4319.8395</v>
      </c>
      <c r="P312" s="655">
        <f t="shared" si="128"/>
        <v>4369.8395</v>
      </c>
      <c r="Q312" s="655">
        <f t="shared" si="128"/>
        <v>4419.8395</v>
      </c>
      <c r="R312" s="655">
        <f t="shared" si="128"/>
        <v>4469.839500000001</v>
      </c>
      <c r="S312" s="655">
        <f t="shared" si="128"/>
        <v>4519.8395</v>
      </c>
      <c r="T312" s="655">
        <f t="shared" si="128"/>
        <v>4569.8395</v>
      </c>
      <c r="U312" s="655">
        <f t="shared" si="128"/>
        <v>4619.8395</v>
      </c>
      <c r="V312" s="655">
        <f t="shared" si="128"/>
        <v>4626.1895000000004</v>
      </c>
      <c r="W312" s="655">
        <f t="shared" si="128"/>
        <v>4632.5394999999999</v>
      </c>
      <c r="X312" s="655">
        <f t="shared" si="128"/>
        <v>4638.8895000000002</v>
      </c>
      <c r="Y312" s="655">
        <f t="shared" si="128"/>
        <v>4645.2394999999997</v>
      </c>
      <c r="Z312" s="659"/>
      <c r="AA312" s="660"/>
      <c r="AB312" s="661"/>
      <c r="AC312" s="660"/>
      <c r="AD312" s="662"/>
      <c r="AE312" s="237"/>
      <c r="AF312" s="32"/>
    </row>
    <row r="313" spans="2:32" customFormat="1">
      <c r="AE313" s="4"/>
    </row>
    <row r="314" spans="2:32" s="31" customFormat="1">
      <c r="B314" s="668" t="s">
        <v>77</v>
      </c>
      <c r="C314" s="179">
        <f t="shared" ref="C314:AD314" si="129">+D179</f>
        <v>792.30000000000007</v>
      </c>
      <c r="D314" s="179">
        <f t="shared" si="129"/>
        <v>1141.5</v>
      </c>
      <c r="E314" s="179">
        <f t="shared" si="129"/>
        <v>1141.5</v>
      </c>
      <c r="F314" s="179">
        <f t="shared" si="129"/>
        <v>1141.5</v>
      </c>
      <c r="G314" s="179">
        <f t="shared" si="129"/>
        <v>1141.5</v>
      </c>
      <c r="H314" s="179">
        <f t="shared" si="129"/>
        <v>1141.5</v>
      </c>
      <c r="I314" s="179">
        <f t="shared" si="129"/>
        <v>1548.2</v>
      </c>
      <c r="J314" s="179">
        <f t="shared" si="129"/>
        <v>1748.2</v>
      </c>
      <c r="K314" s="179">
        <f t="shared" si="129"/>
        <v>1948.2</v>
      </c>
      <c r="L314" s="179">
        <f t="shared" si="129"/>
        <v>2148.1999999999998</v>
      </c>
      <c r="M314" s="179">
        <f t="shared" si="129"/>
        <v>2148.1999999999998</v>
      </c>
      <c r="N314" s="179">
        <f t="shared" si="129"/>
        <v>2148.1999999999998</v>
      </c>
      <c r="O314" s="179">
        <f t="shared" si="129"/>
        <v>2148.1999999999998</v>
      </c>
      <c r="P314" s="179">
        <f t="shared" si="129"/>
        <v>2148.1999999999998</v>
      </c>
      <c r="Q314" s="179">
        <f t="shared" si="129"/>
        <v>2348.1999999999998</v>
      </c>
      <c r="R314" s="179">
        <f t="shared" si="129"/>
        <v>2388.1999999999998</v>
      </c>
      <c r="S314" s="179">
        <f t="shared" si="129"/>
        <v>2222.6000000000004</v>
      </c>
      <c r="T314" s="179">
        <f t="shared" si="129"/>
        <v>2422.6000000000004</v>
      </c>
      <c r="U314" s="179">
        <f t="shared" si="129"/>
        <v>2622.6000000000004</v>
      </c>
      <c r="V314" s="179">
        <f t="shared" si="129"/>
        <v>2622.6000000000004</v>
      </c>
      <c r="W314" s="179">
        <f t="shared" si="129"/>
        <v>2822.6000000000004</v>
      </c>
      <c r="X314" s="179">
        <f t="shared" si="129"/>
        <v>3022.6000000000004</v>
      </c>
      <c r="Y314" s="179">
        <f t="shared" si="129"/>
        <v>2813.3</v>
      </c>
      <c r="Z314" s="179">
        <f t="shared" si="129"/>
        <v>2806.3</v>
      </c>
      <c r="AA314" s="179">
        <f t="shared" si="129"/>
        <v>3006.3</v>
      </c>
      <c r="AB314" s="179">
        <f t="shared" si="129"/>
        <v>3006.3</v>
      </c>
      <c r="AC314" s="179">
        <f t="shared" si="129"/>
        <v>2806.7</v>
      </c>
      <c r="AD314" s="179">
        <f t="shared" si="129"/>
        <v>3006.7</v>
      </c>
      <c r="AE314" s="237"/>
      <c r="AF314" s="32"/>
    </row>
    <row r="315" spans="2:32" s="31" customFormat="1">
      <c r="B315" s="668" t="s">
        <v>212</v>
      </c>
      <c r="C315" s="179">
        <f t="shared" ref="C315:AD315" si="130">+D178</f>
        <v>129.55000000000001</v>
      </c>
      <c r="D315" s="179">
        <f t="shared" si="130"/>
        <v>129.55000000000001</v>
      </c>
      <c r="E315" s="179">
        <f t="shared" si="130"/>
        <v>129.55000000000001</v>
      </c>
      <c r="F315" s="179">
        <f t="shared" si="130"/>
        <v>129.55000000000001</v>
      </c>
      <c r="G315" s="179">
        <f t="shared" si="130"/>
        <v>124.6</v>
      </c>
      <c r="H315" s="179">
        <f t="shared" si="130"/>
        <v>124.6</v>
      </c>
      <c r="I315" s="179">
        <f t="shared" si="130"/>
        <v>124.6</v>
      </c>
      <c r="J315" s="179">
        <f t="shared" si="130"/>
        <v>524.6</v>
      </c>
      <c r="K315" s="179">
        <f t="shared" si="130"/>
        <v>569.6</v>
      </c>
      <c r="L315" s="179">
        <f t="shared" si="130"/>
        <v>569.6</v>
      </c>
      <c r="M315" s="179">
        <f t="shared" si="130"/>
        <v>569.6</v>
      </c>
      <c r="N315" s="179">
        <f t="shared" si="130"/>
        <v>569.6</v>
      </c>
      <c r="O315" s="179">
        <f t="shared" si="130"/>
        <v>569.6</v>
      </c>
      <c r="P315" s="179">
        <f t="shared" si="130"/>
        <v>529.6</v>
      </c>
      <c r="Q315" s="179">
        <f t="shared" si="130"/>
        <v>529.6</v>
      </c>
      <c r="R315" s="179">
        <f t="shared" si="130"/>
        <v>529.6</v>
      </c>
      <c r="S315" s="179">
        <f t="shared" si="130"/>
        <v>481.8</v>
      </c>
      <c r="T315" s="179">
        <f t="shared" si="130"/>
        <v>481.8</v>
      </c>
      <c r="U315" s="179">
        <f t="shared" si="130"/>
        <v>481.8</v>
      </c>
      <c r="V315" s="179">
        <f t="shared" si="130"/>
        <v>481.8</v>
      </c>
      <c r="W315" s="179">
        <f t="shared" si="130"/>
        <v>481.8</v>
      </c>
      <c r="X315" s="179">
        <f t="shared" si="130"/>
        <v>481.8</v>
      </c>
      <c r="Y315" s="179">
        <f t="shared" si="130"/>
        <v>453.6</v>
      </c>
      <c r="Z315" s="179">
        <f t="shared" si="130"/>
        <v>453.6</v>
      </c>
      <c r="AA315" s="179">
        <f t="shared" si="130"/>
        <v>450</v>
      </c>
      <c r="AB315" s="179">
        <f t="shared" si="130"/>
        <v>450</v>
      </c>
      <c r="AC315" s="179">
        <f t="shared" si="130"/>
        <v>450</v>
      </c>
      <c r="AD315" s="179">
        <f t="shared" si="130"/>
        <v>450</v>
      </c>
      <c r="AE315" s="237"/>
      <c r="AF315" s="32"/>
    </row>
    <row r="316" spans="2:32" s="31" customFormat="1">
      <c r="B316" s="669" t="s">
        <v>357</v>
      </c>
      <c r="C316" s="656">
        <f t="shared" ref="C316:Y316" si="131">+D205+D206</f>
        <v>921.85000000000014</v>
      </c>
      <c r="D316" s="656">
        <f t="shared" si="131"/>
        <v>1271.05</v>
      </c>
      <c r="E316" s="656">
        <f t="shared" si="131"/>
        <v>1271.05</v>
      </c>
      <c r="F316" s="656">
        <f t="shared" si="131"/>
        <v>1271.05</v>
      </c>
      <c r="G316" s="656">
        <f t="shared" si="131"/>
        <v>1271.05</v>
      </c>
      <c r="H316" s="656">
        <f t="shared" si="131"/>
        <v>1371.05</v>
      </c>
      <c r="I316" s="656">
        <f t="shared" si="131"/>
        <v>1521.05</v>
      </c>
      <c r="J316" s="656">
        <f t="shared" si="131"/>
        <v>2271.0500000000002</v>
      </c>
      <c r="K316" s="656">
        <f t="shared" si="131"/>
        <v>2471.0500000000002</v>
      </c>
      <c r="L316" s="656">
        <f t="shared" si="131"/>
        <v>2671.05</v>
      </c>
      <c r="M316" s="656">
        <f t="shared" si="131"/>
        <v>2671.05</v>
      </c>
      <c r="N316" s="656">
        <f t="shared" si="131"/>
        <v>2671.05</v>
      </c>
      <c r="O316" s="656">
        <f t="shared" si="131"/>
        <v>2671.05</v>
      </c>
      <c r="P316" s="656">
        <f t="shared" si="131"/>
        <v>2871.05</v>
      </c>
      <c r="Q316" s="656">
        <f t="shared" si="131"/>
        <v>3071.05</v>
      </c>
      <c r="R316" s="656">
        <f t="shared" si="131"/>
        <v>3071.05</v>
      </c>
      <c r="S316" s="656">
        <f t="shared" si="131"/>
        <v>3271.05</v>
      </c>
      <c r="T316" s="656">
        <f t="shared" si="131"/>
        <v>3471.05</v>
      </c>
      <c r="U316" s="656">
        <f t="shared" si="131"/>
        <v>3471.05</v>
      </c>
      <c r="V316" s="656">
        <f t="shared" si="131"/>
        <v>3471.05</v>
      </c>
      <c r="W316" s="656">
        <f t="shared" si="131"/>
        <v>3471.05</v>
      </c>
      <c r="X316" s="656">
        <f t="shared" si="131"/>
        <v>3471.05</v>
      </c>
      <c r="Y316" s="656">
        <f t="shared" si="131"/>
        <v>3471.05</v>
      </c>
      <c r="Z316" s="655"/>
      <c r="AA316" s="663"/>
      <c r="AB316" s="655"/>
      <c r="AC316" s="655"/>
      <c r="AD316" s="655"/>
      <c r="AE316" s="237"/>
      <c r="AF316" s="32"/>
    </row>
    <row r="317" spans="2:32" customFormat="1"/>
    <row r="318" spans="2:32" s="824" customFormat="1"/>
    <row r="319" spans="2:32" customFormat="1">
      <c r="L319" s="4"/>
      <c r="O319" s="4"/>
      <c r="Z319" s="4"/>
      <c r="AF319" s="4"/>
    </row>
    <row r="320" spans="2:32">
      <c r="B320"/>
    </row>
    <row r="321" spans="2:8" ht="31.5">
      <c r="B321" s="728" t="s">
        <v>222</v>
      </c>
      <c r="C321" s="729" t="s">
        <v>225</v>
      </c>
      <c r="D321" s="729" t="s">
        <v>411</v>
      </c>
      <c r="E321" s="729" t="s">
        <v>410</v>
      </c>
      <c r="F321" s="729" t="s">
        <v>223</v>
      </c>
      <c r="G321" s="729" t="s">
        <v>224</v>
      </c>
      <c r="H321" s="730" t="s">
        <v>412</v>
      </c>
    </row>
    <row r="322" spans="2:8">
      <c r="B322" s="731" t="s">
        <v>122</v>
      </c>
      <c r="C322" s="732" t="s">
        <v>226</v>
      </c>
      <c r="D322" s="732" t="s">
        <v>2</v>
      </c>
      <c r="E322" s="732">
        <v>1991</v>
      </c>
      <c r="F322" s="733">
        <f>+D106</f>
        <v>1700</v>
      </c>
      <c r="G322" s="732">
        <f>+D40</f>
        <v>4.95</v>
      </c>
      <c r="H322" s="734">
        <f>E322+25</f>
        <v>2016</v>
      </c>
    </row>
    <row r="323" spans="2:8">
      <c r="B323" s="731" t="s">
        <v>139</v>
      </c>
      <c r="C323" s="732" t="s">
        <v>226</v>
      </c>
      <c r="D323" s="732" t="s">
        <v>2</v>
      </c>
      <c r="E323" s="732">
        <v>2000</v>
      </c>
      <c r="F323" s="733">
        <f>+D107</f>
        <v>2300</v>
      </c>
      <c r="G323" s="732">
        <f>+D41</f>
        <v>40</v>
      </c>
      <c r="H323" s="734">
        <f t="shared" ref="H323:H336" si="132">+E323+25</f>
        <v>2025</v>
      </c>
    </row>
    <row r="324" spans="2:8">
      <c r="B324" s="731" t="s">
        <v>144</v>
      </c>
      <c r="C324" s="732" t="s">
        <v>226</v>
      </c>
      <c r="D324" s="732" t="s">
        <v>2</v>
      </c>
      <c r="E324" s="732">
        <v>2009</v>
      </c>
      <c r="F324" s="733">
        <f>+D108</f>
        <v>3350</v>
      </c>
      <c r="G324" s="732">
        <f>+D42</f>
        <v>7.2</v>
      </c>
      <c r="H324" s="734">
        <f t="shared" si="132"/>
        <v>2034</v>
      </c>
    </row>
    <row r="325" spans="2:8">
      <c r="B325" s="735" t="s">
        <v>144</v>
      </c>
      <c r="C325" s="736" t="s">
        <v>226</v>
      </c>
      <c r="D325" s="736" t="s">
        <v>2</v>
      </c>
      <c r="E325" s="736">
        <v>2011</v>
      </c>
      <c r="F325" s="737">
        <f>+D109</f>
        <v>3350</v>
      </c>
      <c r="G325" s="736">
        <f>+D43</f>
        <v>3.6</v>
      </c>
      <c r="H325" s="738">
        <f t="shared" si="132"/>
        <v>2036</v>
      </c>
    </row>
    <row r="326" spans="2:8">
      <c r="B326" s="739" t="s">
        <v>175</v>
      </c>
      <c r="C326" s="732" t="s">
        <v>226</v>
      </c>
      <c r="D326" s="732" t="s">
        <v>2</v>
      </c>
      <c r="E326" s="740">
        <v>2020</v>
      </c>
      <c r="F326" s="733">
        <f>+K110</f>
        <v>4000</v>
      </c>
      <c r="G326" s="732">
        <f>+K44</f>
        <v>175</v>
      </c>
      <c r="H326" s="734">
        <f t="shared" si="132"/>
        <v>2045</v>
      </c>
    </row>
    <row r="327" spans="2:8">
      <c r="B327" s="739" t="s">
        <v>348</v>
      </c>
      <c r="C327" s="732" t="s">
        <v>226</v>
      </c>
      <c r="D327" s="732" t="s">
        <v>2</v>
      </c>
      <c r="E327" s="740">
        <v>2020</v>
      </c>
      <c r="F327" s="733">
        <f>+K111</f>
        <v>4000</v>
      </c>
      <c r="G327" s="732">
        <f>+K45</f>
        <v>11</v>
      </c>
      <c r="H327" s="734">
        <f t="shared" si="132"/>
        <v>2045</v>
      </c>
    </row>
    <row r="328" spans="2:8">
      <c r="B328" s="741" t="s">
        <v>176</v>
      </c>
      <c r="C328" s="736" t="s">
        <v>226</v>
      </c>
      <c r="D328" s="736" t="s">
        <v>2</v>
      </c>
      <c r="E328" s="742">
        <v>2021</v>
      </c>
      <c r="F328" s="737">
        <f>+L112</f>
        <v>4000</v>
      </c>
      <c r="G328" s="736">
        <f>+L46</f>
        <v>25</v>
      </c>
      <c r="H328" s="738">
        <f t="shared" si="132"/>
        <v>2046</v>
      </c>
    </row>
    <row r="329" spans="2:8">
      <c r="B329" s="731" t="s">
        <v>123</v>
      </c>
      <c r="C329" s="732" t="s">
        <v>226</v>
      </c>
      <c r="D329" s="732" t="s">
        <v>3</v>
      </c>
      <c r="E329" s="732">
        <v>1995</v>
      </c>
      <c r="F329" s="733">
        <f>+D114</f>
        <v>2800</v>
      </c>
      <c r="G329" s="732">
        <f>+D48</f>
        <v>5</v>
      </c>
      <c r="H329" s="734">
        <f t="shared" si="132"/>
        <v>2020</v>
      </c>
    </row>
    <row r="330" spans="2:8">
      <c r="B330" s="731" t="s">
        <v>140</v>
      </c>
      <c r="C330" s="732" t="s">
        <v>226</v>
      </c>
      <c r="D330" s="732" t="s">
        <v>3</v>
      </c>
      <c r="E330" s="732">
        <v>2003</v>
      </c>
      <c r="F330" s="733">
        <f>+D115</f>
        <v>3950</v>
      </c>
      <c r="G330" s="732">
        <f>+D49</f>
        <v>17.199999999999996</v>
      </c>
      <c r="H330" s="734">
        <f t="shared" si="132"/>
        <v>2028</v>
      </c>
    </row>
    <row r="331" spans="2:8">
      <c r="B331" s="731" t="s">
        <v>141</v>
      </c>
      <c r="C331" s="732" t="s">
        <v>226</v>
      </c>
      <c r="D331" s="732" t="s">
        <v>3</v>
      </c>
      <c r="E331" s="732">
        <v>2003</v>
      </c>
      <c r="F331" s="733">
        <f>+D116</f>
        <v>3600</v>
      </c>
      <c r="G331" s="732">
        <f>+D50</f>
        <v>23</v>
      </c>
      <c r="H331" s="734">
        <f t="shared" si="132"/>
        <v>2028</v>
      </c>
    </row>
    <row r="332" spans="2:8">
      <c r="B332" s="731" t="s">
        <v>142</v>
      </c>
      <c r="C332" s="732" t="s">
        <v>226</v>
      </c>
      <c r="D332" s="732" t="s">
        <v>3</v>
      </c>
      <c r="E332" s="732">
        <v>2003</v>
      </c>
      <c r="F332" s="733">
        <f>+D117</f>
        <v>2900</v>
      </c>
      <c r="G332" s="732">
        <f>+D51</f>
        <v>7.6</v>
      </c>
      <c r="H332" s="734">
        <f t="shared" si="132"/>
        <v>2028</v>
      </c>
    </row>
    <row r="333" spans="2:8">
      <c r="B333" s="735" t="s">
        <v>143</v>
      </c>
      <c r="C333" s="736" t="s">
        <v>226</v>
      </c>
      <c r="D333" s="736" t="s">
        <v>3</v>
      </c>
      <c r="E333" s="736">
        <v>2009</v>
      </c>
      <c r="F333" s="737">
        <f>+D118</f>
        <v>3200</v>
      </c>
      <c r="G333" s="736">
        <f>+D52</f>
        <v>21</v>
      </c>
      <c r="H333" s="738">
        <f t="shared" si="132"/>
        <v>2034</v>
      </c>
    </row>
    <row r="334" spans="2:8">
      <c r="B334" s="739" t="s">
        <v>175</v>
      </c>
      <c r="C334" s="732" t="s">
        <v>226</v>
      </c>
      <c r="D334" s="732" t="s">
        <v>3</v>
      </c>
      <c r="E334" s="740">
        <v>2020</v>
      </c>
      <c r="F334" s="733">
        <f>+K119</f>
        <v>4500</v>
      </c>
      <c r="G334" s="732">
        <f>+K53</f>
        <v>175</v>
      </c>
      <c r="H334" s="734">
        <f t="shared" si="132"/>
        <v>2045</v>
      </c>
    </row>
    <row r="335" spans="2:8">
      <c r="B335" s="739" t="s">
        <v>348</v>
      </c>
      <c r="C335" s="732" t="s">
        <v>226</v>
      </c>
      <c r="D335" s="732" t="s">
        <v>3</v>
      </c>
      <c r="E335" s="740">
        <v>2020</v>
      </c>
      <c r="F335" s="733">
        <f>+K120</f>
        <v>4250</v>
      </c>
      <c r="G335" s="732">
        <f>+K54</f>
        <v>39</v>
      </c>
      <c r="H335" s="734">
        <f t="shared" si="132"/>
        <v>2045</v>
      </c>
    </row>
    <row r="336" spans="2:8">
      <c r="B336" s="741" t="s">
        <v>176</v>
      </c>
      <c r="C336" s="736" t="s">
        <v>226</v>
      </c>
      <c r="D336" s="736" t="s">
        <v>3</v>
      </c>
      <c r="E336" s="742">
        <v>2021</v>
      </c>
      <c r="F336" s="737">
        <f>+L121</f>
        <v>4250</v>
      </c>
      <c r="G336" s="736">
        <f>+L55</f>
        <v>25</v>
      </c>
      <c r="H336" s="738">
        <f t="shared" si="132"/>
        <v>2046</v>
      </c>
    </row>
    <row r="337" spans="2:8">
      <c r="B337" s="739" t="s">
        <v>124</v>
      </c>
      <c r="C337" s="732" t="s">
        <v>227</v>
      </c>
      <c r="D337" s="732" t="s">
        <v>3</v>
      </c>
      <c r="E337" s="732">
        <v>2002</v>
      </c>
      <c r="F337" s="733">
        <f>+D145</f>
        <v>4000</v>
      </c>
      <c r="G337" s="732">
        <f>+D60</f>
        <v>160</v>
      </c>
      <c r="H337" s="734">
        <f>+E337+25</f>
        <v>2027</v>
      </c>
    </row>
    <row r="338" spans="2:8">
      <c r="B338" s="739" t="s">
        <v>126</v>
      </c>
      <c r="C338" s="732" t="s">
        <v>227</v>
      </c>
      <c r="D338" s="732" t="s">
        <v>2</v>
      </c>
      <c r="E338" s="732">
        <v>2003</v>
      </c>
      <c r="F338" s="733">
        <f>+D146</f>
        <v>3450</v>
      </c>
      <c r="G338" s="732">
        <f>+D61</f>
        <v>165.6</v>
      </c>
      <c r="H338" s="734">
        <f>+E338+25</f>
        <v>2028</v>
      </c>
    </row>
    <row r="339" spans="2:8">
      <c r="B339" s="739" t="s">
        <v>125</v>
      </c>
      <c r="C339" s="732" t="s">
        <v>227</v>
      </c>
      <c r="D339" s="732" t="s">
        <v>3</v>
      </c>
      <c r="E339" s="732">
        <v>2009</v>
      </c>
      <c r="F339" s="733">
        <f>+D147</f>
        <v>4400</v>
      </c>
      <c r="G339" s="732">
        <f>+D62</f>
        <v>209.3</v>
      </c>
      <c r="H339" s="734">
        <f>+E339+25</f>
        <v>2034</v>
      </c>
    </row>
    <row r="340" spans="2:8">
      <c r="B340" s="739" t="s">
        <v>127</v>
      </c>
      <c r="C340" s="732" t="s">
        <v>227</v>
      </c>
      <c r="D340" s="732" t="s">
        <v>2</v>
      </c>
      <c r="E340" s="732">
        <v>2010</v>
      </c>
      <c r="F340" s="733">
        <f>+D148</f>
        <v>3900</v>
      </c>
      <c r="G340" s="732">
        <f>+D63</f>
        <v>207</v>
      </c>
      <c r="H340" s="734">
        <f>+E340+25</f>
        <v>2035</v>
      </c>
    </row>
    <row r="341" spans="2:8">
      <c r="B341" s="741" t="s">
        <v>69</v>
      </c>
      <c r="C341" s="736" t="s">
        <v>227</v>
      </c>
      <c r="D341" s="736" t="s">
        <v>3</v>
      </c>
      <c r="E341" s="736">
        <v>2013</v>
      </c>
      <c r="F341" s="737">
        <f>+D149</f>
        <v>4450</v>
      </c>
      <c r="G341" s="736">
        <f>+E64</f>
        <v>399.6</v>
      </c>
      <c r="H341" s="738">
        <f t="shared" ref="H341:H348" si="133">+E341+25</f>
        <v>2038</v>
      </c>
    </row>
    <row r="342" spans="2:8">
      <c r="B342" s="739" t="s">
        <v>183</v>
      </c>
      <c r="C342" s="732" t="s">
        <v>227</v>
      </c>
      <c r="D342" s="732" t="s">
        <v>3</v>
      </c>
      <c r="E342" s="740">
        <v>2019</v>
      </c>
      <c r="F342" s="733">
        <f>+J150</f>
        <v>4500</v>
      </c>
      <c r="G342" s="732">
        <f>+J65</f>
        <v>406.7</v>
      </c>
      <c r="H342" s="734">
        <f t="shared" si="133"/>
        <v>2044</v>
      </c>
    </row>
    <row r="343" spans="2:8">
      <c r="B343" s="739" t="s">
        <v>70</v>
      </c>
      <c r="C343" s="732" t="s">
        <v>227</v>
      </c>
      <c r="D343" s="732" t="s">
        <v>2</v>
      </c>
      <c r="E343" s="740">
        <v>2020</v>
      </c>
      <c r="F343" s="733">
        <f>+K151</f>
        <v>4250</v>
      </c>
      <c r="G343" s="732">
        <f>+U66</f>
        <v>600</v>
      </c>
      <c r="H343" s="734">
        <f t="shared" si="133"/>
        <v>2045</v>
      </c>
    </row>
    <row r="344" spans="2:8">
      <c r="B344" s="739" t="s">
        <v>359</v>
      </c>
      <c r="C344" s="732" t="s">
        <v>227</v>
      </c>
      <c r="D344" s="732" t="s">
        <v>3</v>
      </c>
      <c r="E344" s="740">
        <v>2027</v>
      </c>
      <c r="F344" s="733">
        <f>+U152</f>
        <v>4600</v>
      </c>
      <c r="G344" s="732">
        <f>+U67</f>
        <v>400</v>
      </c>
      <c r="H344" s="734">
        <f t="shared" si="133"/>
        <v>2052</v>
      </c>
    </row>
    <row r="345" spans="2:8">
      <c r="B345" s="739" t="s">
        <v>355</v>
      </c>
      <c r="C345" s="732" t="s">
        <v>227</v>
      </c>
      <c r="D345" s="732" t="s">
        <v>3</v>
      </c>
      <c r="E345" s="740">
        <v>2030</v>
      </c>
      <c r="F345" s="733">
        <f>+Z153</f>
        <v>4600</v>
      </c>
      <c r="G345" s="732">
        <f>+Z68</f>
        <v>400</v>
      </c>
      <c r="H345" s="734">
        <f t="shared" si="133"/>
        <v>2055</v>
      </c>
    </row>
    <row r="346" spans="2:8">
      <c r="B346" s="743" t="s">
        <v>360</v>
      </c>
      <c r="C346" s="732" t="s">
        <v>227</v>
      </c>
      <c r="D346" s="732" t="s">
        <v>3</v>
      </c>
      <c r="E346" s="740">
        <v>2033</v>
      </c>
      <c r="F346" s="733">
        <f>+AE154</f>
        <v>4700</v>
      </c>
      <c r="G346" s="732">
        <f>+AE69</f>
        <v>400</v>
      </c>
      <c r="H346" s="734">
        <f t="shared" si="133"/>
        <v>2058</v>
      </c>
    </row>
    <row r="347" spans="2:8">
      <c r="B347" s="743" t="s">
        <v>259</v>
      </c>
      <c r="C347" s="732" t="s">
        <v>227</v>
      </c>
      <c r="D347" s="732" t="s">
        <v>2</v>
      </c>
      <c r="E347" s="740">
        <v>2036</v>
      </c>
      <c r="F347" s="733">
        <f>+AE155</f>
        <v>4300</v>
      </c>
      <c r="G347" s="732">
        <f>+AE70</f>
        <v>400</v>
      </c>
      <c r="H347" s="734">
        <f t="shared" si="133"/>
        <v>2061</v>
      </c>
    </row>
    <row r="348" spans="2:8">
      <c r="B348" s="744" t="s">
        <v>355</v>
      </c>
      <c r="C348" s="745" t="s">
        <v>227</v>
      </c>
      <c r="D348" s="745" t="s">
        <v>3</v>
      </c>
      <c r="E348" s="746">
        <v>2039</v>
      </c>
      <c r="F348" s="747">
        <f>+AE156</f>
        <v>4700</v>
      </c>
      <c r="G348" s="745">
        <f>+AE71</f>
        <v>400</v>
      </c>
      <c r="H348" s="748">
        <f t="shared" si="133"/>
        <v>2064</v>
      </c>
    </row>
    <row r="350" spans="2:8">
      <c r="B350" s="749" t="s">
        <v>0</v>
      </c>
      <c r="C350" s="750" t="s">
        <v>78</v>
      </c>
      <c r="D350" s="750" t="s">
        <v>228</v>
      </c>
      <c r="E350" s="750" t="s">
        <v>229</v>
      </c>
      <c r="F350" s="751" t="s">
        <v>230</v>
      </c>
    </row>
    <row r="351" spans="2:8">
      <c r="B351" s="752" t="s">
        <v>6</v>
      </c>
      <c r="C351" s="753">
        <f>+K80</f>
        <v>1850</v>
      </c>
      <c r="D351" s="753">
        <f>+K81</f>
        <v>2700</v>
      </c>
      <c r="E351" s="753">
        <f>+K82</f>
        <v>3000</v>
      </c>
      <c r="F351" s="754">
        <f>+K83</f>
        <v>3150</v>
      </c>
    </row>
    <row r="352" spans="2:8">
      <c r="B352" s="755" t="s">
        <v>7</v>
      </c>
      <c r="C352" s="747">
        <f>+K85</f>
        <v>1950</v>
      </c>
      <c r="D352" s="747">
        <f>+K86</f>
        <v>2950</v>
      </c>
      <c r="E352" s="747">
        <f>+K87</f>
        <v>3150</v>
      </c>
      <c r="F352" s="756">
        <f>+K88</f>
        <v>3300</v>
      </c>
    </row>
    <row r="353" spans="2:2">
      <c r="B353" s="125"/>
    </row>
  </sheetData>
  <conditionalFormatting sqref="D12:J12 D24:J24 AB124:AQ124 D25:E27 C140 D23:E23 D36:AQ36 D57:AQ57 D6:E6 D5 D29:G29 D7:AE8 D9:E11 D15:E15 F26:AE26 H21:AE23 I29:AE29 H9:AE9 L24:AE24 D31:AE31 D34:AE34 AB35:AE35 E32:AE33 D4:AE4 D73:AQ91 J5:AE6 I27:J27 D28:AE28 I15:J15 D16:AE20 D38:AQ38 AF39:AQ56 F37 AF125:AQ141 AF92:AQ101 D92:AE100 H58:AQ58 D71:AD71 AF72:AQ72 AG71:AQ71 H158:AQ158 H123:AQ123 D159:AQ170 D39:AE55 D59:AQ70 D102:AQ122 D125:AE140 D142:AQ149 D151:AQ157 D150:H150 J150:AQ150 L275:AM275 AQ4:AQ35 H37:AQ37">
    <cfRule type="cellIs" dxfId="60" priority="99" stopIfTrue="1" operator="equal">
      <formula>#REF!</formula>
    </cfRule>
  </conditionalFormatting>
  <conditionalFormatting sqref="D175:Z175">
    <cfRule type="cellIs" dxfId="59" priority="98" stopIfTrue="1" operator="equal">
      <formula>#REF!</formula>
    </cfRule>
  </conditionalFormatting>
  <conditionalFormatting sqref="D32:D33">
    <cfRule type="cellIs" dxfId="58" priority="91" stopIfTrue="1" operator="equal">
      <formula>#REF!</formula>
    </cfRule>
  </conditionalFormatting>
  <conditionalFormatting sqref="D21:E22">
    <cfRule type="cellIs" dxfId="57" priority="94" stopIfTrue="1" operator="equal">
      <formula>#REF!</formula>
    </cfRule>
  </conditionalFormatting>
  <conditionalFormatting sqref="D30:AE30">
    <cfRule type="cellIs" dxfId="56" priority="90" stopIfTrue="1" operator="equal">
      <formula>#REF!</formula>
    </cfRule>
  </conditionalFormatting>
  <conditionalFormatting sqref="D35:AE35">
    <cfRule type="cellIs" dxfId="55" priority="89" stopIfTrue="1" operator="equal">
      <formula>#REF!</formula>
    </cfRule>
  </conditionalFormatting>
  <conditionalFormatting sqref="D56:AE56">
    <cfRule type="cellIs" dxfId="54" priority="88" stopIfTrue="1" operator="equal">
      <formula>#REF!</formula>
    </cfRule>
  </conditionalFormatting>
  <conditionalFormatting sqref="D141:AE141">
    <cfRule type="cellIs" dxfId="53" priority="85" stopIfTrue="1" operator="equal">
      <formula>#REF!</formula>
    </cfRule>
  </conditionalFormatting>
  <conditionalFormatting sqref="D171:AE171">
    <cfRule type="cellIs" dxfId="52" priority="84" stopIfTrue="1" operator="equal">
      <formula>#REF!</formula>
    </cfRule>
  </conditionalFormatting>
  <conditionalFormatting sqref="D192:AE192">
    <cfRule type="cellIs" dxfId="51" priority="81" stopIfTrue="1" operator="equal">
      <formula>#REF!</formula>
    </cfRule>
  </conditionalFormatting>
  <conditionalFormatting sqref="D72:AE72">
    <cfRule type="cellIs" dxfId="50" priority="87" stopIfTrue="1" operator="equal">
      <formula>#REF!</formula>
    </cfRule>
  </conditionalFormatting>
  <conditionalFormatting sqref="D101:AE101">
    <cfRule type="cellIs" dxfId="49" priority="86" stopIfTrue="1" operator="equal">
      <formula>#REF!</formula>
    </cfRule>
  </conditionalFormatting>
  <conditionalFormatting sqref="D180:AE180">
    <cfRule type="cellIs" dxfId="48" priority="83" stopIfTrue="1" operator="equal">
      <formula>#REF!</formula>
    </cfRule>
  </conditionalFormatting>
  <conditionalFormatting sqref="D186:AE186">
    <cfRule type="cellIs" dxfId="47" priority="82" stopIfTrue="1" operator="equal">
      <formula>#REF!</formula>
    </cfRule>
  </conditionalFormatting>
  <conditionalFormatting sqref="F276">
    <cfRule type="cellIs" dxfId="46" priority="72" stopIfTrue="1" operator="equal">
      <formula>#REF!</formula>
    </cfRule>
  </conditionalFormatting>
  <conditionalFormatting sqref="E5">
    <cfRule type="cellIs" dxfId="45" priority="80" stopIfTrue="1" operator="equal">
      <formula>#REF!</formula>
    </cfRule>
  </conditionalFormatting>
  <conditionalFormatting sqref="F6:G6 F5">
    <cfRule type="cellIs" dxfId="44" priority="79" stopIfTrue="1" operator="equal">
      <formula>#REF!</formula>
    </cfRule>
  </conditionalFormatting>
  <conditionalFormatting sqref="G5">
    <cfRule type="cellIs" dxfId="43" priority="78" stopIfTrue="1" operator="equal">
      <formula>#REF!</formula>
    </cfRule>
  </conditionalFormatting>
  <conditionalFormatting sqref="H29">
    <cfRule type="cellIs" dxfId="42" priority="77" stopIfTrue="1" operator="equal">
      <formula>#REF!</formula>
    </cfRule>
  </conditionalFormatting>
  <conditionalFormatting sqref="E276">
    <cfRule type="cellIs" dxfId="41" priority="73" stopIfTrue="1" operator="equal">
      <formula>#REF!</formula>
    </cfRule>
  </conditionalFormatting>
  <conditionalFormatting sqref="C276">
    <cfRule type="cellIs" dxfId="40" priority="75" stopIfTrue="1" operator="equal">
      <formula>#REF!</formula>
    </cfRule>
  </conditionalFormatting>
  <conditionalFormatting sqref="D276">
    <cfRule type="cellIs" dxfId="39" priority="74" stopIfTrue="1" operator="equal">
      <formula>#REF!</formula>
    </cfRule>
  </conditionalFormatting>
  <conditionalFormatting sqref="G276:L276">
    <cfRule type="cellIs" dxfId="38" priority="71" stopIfTrue="1" operator="equal">
      <formula>#REF!</formula>
    </cfRule>
  </conditionalFormatting>
  <conditionalFormatting sqref="S276:AM276 T277:AM277">
    <cfRule type="cellIs" dxfId="37" priority="69" stopIfTrue="1" operator="equal">
      <formula>#REF!</formula>
    </cfRule>
  </conditionalFormatting>
  <conditionalFormatting sqref="M276:R276 N277:R277">
    <cfRule type="cellIs" dxfId="36" priority="70" stopIfTrue="1" operator="equal">
      <formula>#REF!</formula>
    </cfRule>
  </conditionalFormatting>
  <conditionalFormatting sqref="S277">
    <cfRule type="cellIs" dxfId="35" priority="68" stopIfTrue="1" operator="equal">
      <formula>#REF!</formula>
    </cfRule>
  </conditionalFormatting>
  <conditionalFormatting sqref="M277">
    <cfRule type="cellIs" dxfId="34" priority="67" stopIfTrue="1" operator="equal">
      <formula>#REF!</formula>
    </cfRule>
  </conditionalFormatting>
  <conditionalFormatting sqref="G277:L277">
    <cfRule type="cellIs" dxfId="33" priority="66" stopIfTrue="1" operator="equal">
      <formula>#REF!</formula>
    </cfRule>
  </conditionalFormatting>
  <conditionalFormatting sqref="C277:F277">
    <cfRule type="cellIs" dxfId="32" priority="65" stopIfTrue="1" operator="equal">
      <formula>#REF!</formula>
    </cfRule>
  </conditionalFormatting>
  <conditionalFormatting sqref="C307:AD307">
    <cfRule type="cellIs" dxfId="31" priority="62" stopIfTrue="1" operator="equal">
      <formula>#REF!</formula>
    </cfRule>
  </conditionalFormatting>
  <conditionalFormatting sqref="F15">
    <cfRule type="cellIs" dxfId="30" priority="51" stopIfTrue="1" operator="equal">
      <formula>#REF!</formula>
    </cfRule>
  </conditionalFormatting>
  <conditionalFormatting sqref="F25:AE25">
    <cfRule type="cellIs" dxfId="29" priority="50" stopIfTrue="1" operator="equal">
      <formula>#REF!</formula>
    </cfRule>
  </conditionalFormatting>
  <conditionalFormatting sqref="F27">
    <cfRule type="cellIs" dxfId="28" priority="49" stopIfTrue="1" operator="equal">
      <formula>#REF!</formula>
    </cfRule>
  </conditionalFormatting>
  <conditionalFormatting sqref="H10:Q11">
    <cfRule type="cellIs" dxfId="27" priority="42" stopIfTrue="1" operator="equal">
      <formula>#REF!</formula>
    </cfRule>
  </conditionalFormatting>
  <conditionalFormatting sqref="K15:AE15">
    <cfRule type="cellIs" dxfId="26" priority="41" stopIfTrue="1" operator="equal">
      <formula>#REF!</formula>
    </cfRule>
  </conditionalFormatting>
  <conditionalFormatting sqref="K27:AE27">
    <cfRule type="cellIs" dxfId="25" priority="46" stopIfTrue="1" operator="equal">
      <formula>#REF!</formula>
    </cfRule>
  </conditionalFormatting>
  <conditionalFormatting sqref="D202:Z202">
    <cfRule type="cellIs" dxfId="24" priority="39" stopIfTrue="1" operator="equal">
      <formula>#REF!</formula>
    </cfRule>
  </conditionalFormatting>
  <conditionalFormatting sqref="L12:AE12 R10:AE11">
    <cfRule type="cellIs" dxfId="23" priority="45" stopIfTrue="1" operator="equal">
      <formula>#REF!</formula>
    </cfRule>
  </conditionalFormatting>
  <conditionalFormatting sqref="D13:E14 F14:AE14">
    <cfRule type="cellIs" dxfId="22" priority="44" stopIfTrue="1" operator="equal">
      <formula>#REF!</formula>
    </cfRule>
  </conditionalFormatting>
  <conditionalFormatting sqref="F13:AE13">
    <cfRule type="cellIs" dxfId="21" priority="43" stopIfTrue="1" operator="equal">
      <formula>#REF!</formula>
    </cfRule>
  </conditionalFormatting>
  <conditionalFormatting sqref="D219:Z219">
    <cfRule type="cellIs" dxfId="20" priority="36" stopIfTrue="1" operator="equal">
      <formula>#REF!</formula>
    </cfRule>
  </conditionalFormatting>
  <conditionalFormatting sqref="D207:Z207">
    <cfRule type="cellIs" dxfId="19" priority="38" stopIfTrue="1" operator="equal">
      <formula>#REF!</formula>
    </cfRule>
  </conditionalFormatting>
  <conditionalFormatting sqref="D213:Z213">
    <cfRule type="cellIs" dxfId="18" priority="37" stopIfTrue="1" operator="equal">
      <formula>#REF!</formula>
    </cfRule>
  </conditionalFormatting>
  <conditionalFormatting sqref="AA175:AE175">
    <cfRule type="cellIs" dxfId="17" priority="35" stopIfTrue="1" operator="equal">
      <formula>#REF!</formula>
    </cfRule>
  </conditionalFormatting>
  <conditionalFormatting sqref="H6">
    <cfRule type="cellIs" dxfId="16" priority="31" stopIfTrue="1" operator="equal">
      <formula>#REF!</formula>
    </cfRule>
  </conditionalFormatting>
  <conditionalFormatting sqref="H5">
    <cfRule type="cellIs" dxfId="15" priority="30" stopIfTrue="1" operator="equal">
      <formula>#REF!</formula>
    </cfRule>
  </conditionalFormatting>
  <conditionalFormatting sqref="I5">
    <cfRule type="cellIs" dxfId="14" priority="34" stopIfTrue="1" operator="equal">
      <formula>#REF!</formula>
    </cfRule>
  </conditionalFormatting>
  <conditionalFormatting sqref="I6">
    <cfRule type="cellIs" dxfId="13" priority="33" stopIfTrue="1" operator="equal">
      <formula>#REF!</formula>
    </cfRule>
  </conditionalFormatting>
  <conditionalFormatting sqref="AD71:AE71">
    <cfRule type="cellIs" dxfId="12" priority="29" stopIfTrue="1" operator="equal">
      <formula>#REF!</formula>
    </cfRule>
  </conditionalFormatting>
  <conditionalFormatting sqref="AF71">
    <cfRule type="cellIs" dxfId="11" priority="28" stopIfTrue="1" operator="equal">
      <formula>#REF!</formula>
    </cfRule>
  </conditionalFormatting>
  <conditionalFormatting sqref="F275:J275">
    <cfRule type="cellIs" dxfId="10" priority="23" stopIfTrue="1" operator="equal">
      <formula>#REF!</formula>
    </cfRule>
  </conditionalFormatting>
  <conditionalFormatting sqref="I150">
    <cfRule type="cellIs" dxfId="9" priority="10" stopIfTrue="1" operator="equal">
      <formula>#REF!</formula>
    </cfRule>
  </conditionalFormatting>
  <conditionalFormatting sqref="E275">
    <cfRule type="cellIs" dxfId="8" priority="9" stopIfTrue="1" operator="equal">
      <formula>#REF!</formula>
    </cfRule>
  </conditionalFormatting>
  <conditionalFormatting sqref="D275">
    <cfRule type="cellIs" dxfId="7" priority="8" stopIfTrue="1" operator="equal">
      <formula>#REF!</formula>
    </cfRule>
  </conditionalFormatting>
  <conditionalFormatting sqref="C275">
    <cfRule type="cellIs" dxfId="6" priority="7" stopIfTrue="1" operator="equal">
      <formula>#REF!</formula>
    </cfRule>
  </conditionalFormatting>
  <conditionalFormatting sqref="B307">
    <cfRule type="cellIs" dxfId="5" priority="6" stopIfTrue="1" operator="equal">
      <formula>#REF!</formula>
    </cfRule>
  </conditionalFormatting>
  <conditionalFormatting sqref="F9:G11">
    <cfRule type="cellIs" dxfId="4" priority="5" stopIfTrue="1" operator="equal">
      <formula>#REF!</formula>
    </cfRule>
  </conditionalFormatting>
  <conditionalFormatting sqref="G15:H15">
    <cfRule type="cellIs" dxfId="3" priority="4" stopIfTrue="1" operator="equal">
      <formula>#REF!</formula>
    </cfRule>
  </conditionalFormatting>
  <conditionalFormatting sqref="F21:G23">
    <cfRule type="cellIs" dxfId="2" priority="3" stopIfTrue="1" operator="equal">
      <formula>#REF!</formula>
    </cfRule>
  </conditionalFormatting>
  <conditionalFormatting sqref="G27:H27">
    <cfRule type="cellIs" dxfId="1" priority="2" stopIfTrue="1" operator="equal">
      <formula>#REF!</formula>
    </cfRule>
  </conditionalFormatting>
  <conditionalFormatting sqref="B275">
    <cfRule type="cellIs" dxfId="0" priority="1" stopIfTrue="1" operator="equal">
      <formula>#REF!</formula>
    </cfRule>
  </conditionalFormatting>
  <hyperlinks>
    <hyperlink ref="A1" location="Indholdsfortegnelse!A1" display="Indholdsfortegnelse"/>
  </hyperlinks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">
    <tabColor theme="3" tint="0.39997558519241921"/>
  </sheetPr>
  <dimension ref="A1:M93"/>
  <sheetViews>
    <sheetView workbookViewId="0">
      <selection activeCell="B78" sqref="B78"/>
    </sheetView>
  </sheetViews>
  <sheetFormatPr defaultColWidth="10.28515625" defaultRowHeight="12.75"/>
  <cols>
    <col min="1" max="1" width="10.28515625" style="550" customWidth="1"/>
    <col min="2" max="2" width="16.28515625" style="550" customWidth="1"/>
    <col min="3" max="3" width="11.7109375" style="550" customWidth="1"/>
    <col min="4" max="4" width="11.85546875" style="550" customWidth="1"/>
    <col min="5" max="6" width="11.7109375" style="550" customWidth="1"/>
    <col min="7" max="7" width="11.85546875" style="550" customWidth="1"/>
    <col min="8" max="8" width="35.7109375" style="550" customWidth="1"/>
    <col min="9" max="9" width="14.28515625" style="550" customWidth="1"/>
    <col min="10" max="12" width="9.140625" style="550" customWidth="1"/>
    <col min="13" max="16384" width="10.28515625" style="550"/>
  </cols>
  <sheetData>
    <row r="1" spans="1:13">
      <c r="A1" s="130" t="s">
        <v>58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</row>
    <row r="2" spans="1:13">
      <c r="A2" s="132" t="s">
        <v>56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</row>
    <row r="3" spans="1:13">
      <c r="A3" s="132"/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</row>
    <row r="4" spans="1:13">
      <c r="A4" s="132"/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</row>
    <row r="5" spans="1:13">
      <c r="A5" s="298"/>
      <c r="B5" s="298"/>
      <c r="C5" s="298"/>
      <c r="D5" s="298"/>
      <c r="E5" s="298"/>
      <c r="F5" s="298"/>
      <c r="G5" s="298"/>
      <c r="H5" s="298"/>
      <c r="I5" s="439"/>
      <c r="J5" s="439"/>
      <c r="K5" s="439"/>
      <c r="L5" s="439"/>
      <c r="M5" s="680"/>
    </row>
    <row r="6" spans="1:13">
      <c r="A6" s="298"/>
      <c r="B6" s="628"/>
      <c r="C6" s="645">
        <v>2016</v>
      </c>
      <c r="D6" s="645" t="s">
        <v>353</v>
      </c>
      <c r="E6" s="645" t="s">
        <v>161</v>
      </c>
      <c r="F6" s="72" t="s">
        <v>354</v>
      </c>
      <c r="G6" s="298"/>
      <c r="H6" s="676" t="s">
        <v>372</v>
      </c>
      <c r="I6" s="677"/>
      <c r="J6" s="674"/>
      <c r="K6" s="674"/>
      <c r="L6" s="439"/>
      <c r="M6" s="680"/>
    </row>
    <row r="7" spans="1:13" ht="21.75">
      <c r="A7" s="298"/>
      <c r="B7" s="646" t="s">
        <v>351</v>
      </c>
      <c r="C7" s="643">
        <f>C15</f>
        <v>2.0003606606746556E-2</v>
      </c>
      <c r="D7" s="643">
        <f>AVERAGE(C16:C19)</f>
        <v>2.0947879118324936E-2</v>
      </c>
      <c r="E7" s="643">
        <f>AVERAGE(C20:C29)</f>
        <v>1.257009580789727E-2</v>
      </c>
      <c r="F7" s="647">
        <f>AVERAGE(C30:C39)</f>
        <v>9.9851025631923166E-3</v>
      </c>
      <c r="G7" s="298"/>
      <c r="H7" s="675" t="s">
        <v>373</v>
      </c>
      <c r="I7" s="681">
        <v>0.04</v>
      </c>
      <c r="J7" s="139"/>
      <c r="K7" s="680"/>
      <c r="L7" s="439"/>
      <c r="M7" s="680"/>
    </row>
    <row r="8" spans="1:13" ht="21.75">
      <c r="A8" s="298"/>
      <c r="B8" s="646" t="s">
        <v>305</v>
      </c>
      <c r="C8" s="643">
        <f>D46</f>
        <v>1.530082459015796E-2</v>
      </c>
      <c r="D8" s="643">
        <f>AVERAGE(D47:D50)</f>
        <v>2.025358254950874E-2</v>
      </c>
      <c r="E8" s="643">
        <f>AVERAGE(D51:D60)</f>
        <v>1.9382934965738858E-2</v>
      </c>
      <c r="F8" s="647">
        <f>AVERAGE(D61:D70)</f>
        <v>1.9610768262707794E-2</v>
      </c>
      <c r="G8" s="298"/>
      <c r="H8" s="678" t="s">
        <v>374</v>
      </c>
      <c r="I8" s="682">
        <v>0.03</v>
      </c>
      <c r="J8" s="139"/>
      <c r="K8" s="680"/>
      <c r="L8" s="439"/>
      <c r="M8" s="680"/>
    </row>
    <row r="9" spans="1:13" ht="42.75">
      <c r="A9" s="298"/>
      <c r="B9" s="648" t="s">
        <v>352</v>
      </c>
      <c r="C9" s="644">
        <f>D15</f>
        <v>6.0000000000000001E-3</v>
      </c>
      <c r="D9" s="644">
        <f>D19</f>
        <v>3.85E-2</v>
      </c>
      <c r="E9" s="644">
        <f>D29</f>
        <v>4.4999999999999998E-2</v>
      </c>
      <c r="F9" s="649">
        <f>D39</f>
        <v>4.4999999999999998E-2</v>
      </c>
      <c r="G9" s="298"/>
      <c r="H9" s="679" t="s">
        <v>375</v>
      </c>
      <c r="I9" s="683">
        <v>0.02</v>
      </c>
      <c r="J9" s="139"/>
      <c r="K9" s="680"/>
      <c r="L9" s="439"/>
      <c r="M9" s="680"/>
    </row>
    <row r="10" spans="1:13">
      <c r="A10" s="298"/>
      <c r="B10" s="558" t="s">
        <v>221</v>
      </c>
      <c r="C10" s="76"/>
      <c r="D10" s="76"/>
      <c r="E10" s="76"/>
      <c r="F10" s="76"/>
      <c r="G10" s="298"/>
      <c r="H10" s="558" t="s">
        <v>376</v>
      </c>
      <c r="I10" s="298"/>
      <c r="J10" s="298"/>
      <c r="K10" s="298"/>
      <c r="L10" s="298"/>
    </row>
    <row r="11" spans="1:13">
      <c r="A11" s="298"/>
      <c r="B11" s="557"/>
      <c r="G11" s="298"/>
      <c r="H11" s="298"/>
      <c r="I11" s="298"/>
      <c r="J11" s="298"/>
      <c r="K11" s="298"/>
      <c r="L11" s="298"/>
    </row>
    <row r="12" spans="1:13">
      <c r="A12" s="298"/>
      <c r="B12" s="557"/>
      <c r="G12" s="298"/>
      <c r="H12" s="298"/>
      <c r="I12" s="298"/>
      <c r="J12" s="298"/>
      <c r="K12" s="298"/>
      <c r="L12" s="298"/>
    </row>
    <row r="13" spans="1:13">
      <c r="A13" s="298"/>
      <c r="B13" s="557"/>
      <c r="G13" s="298"/>
      <c r="H13" s="298"/>
      <c r="I13" s="298"/>
      <c r="J13" s="298"/>
      <c r="K13" s="298"/>
      <c r="L13" s="298"/>
    </row>
    <row r="14" spans="1:13" ht="52.5">
      <c r="A14" s="298"/>
      <c r="B14" s="633" t="s">
        <v>0</v>
      </c>
      <c r="C14" s="632" t="s">
        <v>351</v>
      </c>
      <c r="D14" s="634" t="s">
        <v>352</v>
      </c>
      <c r="E14"/>
      <c r="F14"/>
      <c r="G14"/>
      <c r="H14"/>
      <c r="I14"/>
      <c r="J14"/>
      <c r="K14"/>
      <c r="L14"/>
    </row>
    <row r="15" spans="1:13">
      <c r="A15" s="298"/>
      <c r="B15" s="637">
        <v>2016</v>
      </c>
      <c r="C15" s="640">
        <v>2.0003606606746556E-2</v>
      </c>
      <c r="D15" s="635">
        <v>6.0000000000000001E-3</v>
      </c>
      <c r="E15"/>
      <c r="F15"/>
      <c r="G15"/>
      <c r="H15"/>
      <c r="I15"/>
      <c r="J15"/>
      <c r="K15"/>
      <c r="L15"/>
    </row>
    <row r="16" spans="1:13">
      <c r="A16" s="298"/>
      <c r="B16" s="638">
        <v>2017</v>
      </c>
      <c r="C16" s="641">
        <v>1.8553373722136769E-2</v>
      </c>
      <c r="D16" s="635">
        <v>1.41E-2</v>
      </c>
      <c r="E16"/>
      <c r="F16"/>
      <c r="G16"/>
      <c r="H16"/>
      <c r="I16"/>
      <c r="J16"/>
      <c r="K16"/>
      <c r="L16"/>
    </row>
    <row r="17" spans="1:12">
      <c r="A17" s="298"/>
      <c r="B17" s="638">
        <v>2018</v>
      </c>
      <c r="C17" s="641">
        <v>2.3619183570879485E-2</v>
      </c>
      <c r="D17" s="635">
        <v>2.2799999999999997E-2</v>
      </c>
      <c r="E17"/>
      <c r="F17"/>
      <c r="G17"/>
      <c r="H17"/>
      <c r="I17"/>
      <c r="J17"/>
      <c r="K17"/>
      <c r="L17"/>
    </row>
    <row r="18" spans="1:12">
      <c r="A18" s="298"/>
      <c r="B18" s="638">
        <v>2019</v>
      </c>
      <c r="C18" s="641">
        <v>2.4012652064540455E-2</v>
      </c>
      <c r="D18" s="635">
        <v>3.1400000000000004E-2</v>
      </c>
      <c r="E18"/>
      <c r="F18"/>
      <c r="G18"/>
      <c r="H18"/>
      <c r="I18"/>
      <c r="J18"/>
      <c r="K18"/>
      <c r="L18"/>
    </row>
    <row r="19" spans="1:12">
      <c r="A19" s="298"/>
      <c r="B19" s="639">
        <v>2020</v>
      </c>
      <c r="C19" s="642">
        <v>1.7606307115743045E-2</v>
      </c>
      <c r="D19" s="636">
        <v>3.85E-2</v>
      </c>
      <c r="E19"/>
      <c r="F19"/>
      <c r="G19"/>
      <c r="H19"/>
      <c r="I19"/>
      <c r="J19"/>
      <c r="K19"/>
      <c r="L19"/>
    </row>
    <row r="20" spans="1:12">
      <c r="A20" s="298"/>
      <c r="B20" s="638">
        <v>2021</v>
      </c>
      <c r="C20" s="641">
        <v>1.6003977437670524E-2</v>
      </c>
      <c r="D20" s="635">
        <v>4.0399999999999998E-2</v>
      </c>
      <c r="E20"/>
      <c r="F20"/>
      <c r="G20"/>
      <c r="H20"/>
      <c r="I20"/>
      <c r="J20"/>
      <c r="K20"/>
      <c r="L20"/>
    </row>
    <row r="21" spans="1:12">
      <c r="A21" s="298"/>
      <c r="B21" s="638">
        <v>2022</v>
      </c>
      <c r="C21" s="641">
        <v>1.6712152219476861E-2</v>
      </c>
      <c r="D21" s="635">
        <v>4.2000000000000003E-2</v>
      </c>
      <c r="E21"/>
      <c r="F21"/>
      <c r="G21"/>
      <c r="H21"/>
      <c r="I21"/>
      <c r="J21"/>
      <c r="K21"/>
      <c r="L21"/>
    </row>
    <row r="22" spans="1:12">
      <c r="A22" s="298"/>
      <c r="B22" s="638">
        <v>2023</v>
      </c>
      <c r="C22" s="641">
        <v>1.2022971908095726E-2</v>
      </c>
      <c r="D22" s="635">
        <v>4.3299999999999998E-2</v>
      </c>
      <c r="E22"/>
      <c r="F22"/>
      <c r="G22"/>
      <c r="H22"/>
      <c r="I22"/>
      <c r="J22"/>
      <c r="K22"/>
      <c r="L22"/>
    </row>
    <row r="23" spans="1:12">
      <c r="A23" s="298"/>
      <c r="B23" s="638">
        <v>2024</v>
      </c>
      <c r="C23" s="641">
        <v>1.0238430337505327E-2</v>
      </c>
      <c r="D23" s="635">
        <v>4.4299999999999999E-2</v>
      </c>
      <c r="E23"/>
      <c r="F23"/>
      <c r="G23"/>
      <c r="H23"/>
      <c r="I23"/>
      <c r="J23"/>
      <c r="K23"/>
      <c r="L23"/>
    </row>
    <row r="24" spans="1:12">
      <c r="A24" s="298"/>
      <c r="B24" s="638">
        <v>2025</v>
      </c>
      <c r="C24" s="641">
        <v>1.0661794485268021E-2</v>
      </c>
      <c r="D24" s="635">
        <v>4.4999999999999998E-2</v>
      </c>
      <c r="E24"/>
      <c r="F24"/>
      <c r="G24"/>
      <c r="H24"/>
      <c r="I24"/>
      <c r="J24"/>
      <c r="K24"/>
      <c r="L24"/>
    </row>
    <row r="25" spans="1:12">
      <c r="A25" s="298"/>
      <c r="B25" s="638">
        <v>2026</v>
      </c>
      <c r="C25" s="641">
        <v>9.3482757659379464E-3</v>
      </c>
      <c r="D25" s="635">
        <v>4.4999999999999998E-2</v>
      </c>
      <c r="E25"/>
      <c r="F25"/>
      <c r="G25"/>
      <c r="H25"/>
      <c r="I25"/>
      <c r="J25"/>
      <c r="K25"/>
      <c r="L25"/>
    </row>
    <row r="26" spans="1:12">
      <c r="A26" s="298"/>
      <c r="B26" s="638">
        <v>2027</v>
      </c>
      <c r="C26" s="641">
        <v>1.3285925083540236E-2</v>
      </c>
      <c r="D26" s="635">
        <v>4.4999999999999998E-2</v>
      </c>
      <c r="E26"/>
      <c r="F26"/>
      <c r="G26"/>
      <c r="H26"/>
      <c r="I26"/>
      <c r="J26"/>
      <c r="K26"/>
      <c r="L26"/>
    </row>
    <row r="27" spans="1:12">
      <c r="A27" s="298"/>
      <c r="B27" s="638">
        <v>2028</v>
      </c>
      <c r="C27" s="641">
        <v>9.8952061083116237E-3</v>
      </c>
      <c r="D27" s="635">
        <v>4.4999999999999998E-2</v>
      </c>
      <c r="E27"/>
      <c r="F27"/>
      <c r="G27"/>
      <c r="H27"/>
      <c r="I27"/>
      <c r="J27"/>
      <c r="K27"/>
      <c r="L27"/>
    </row>
    <row r="28" spans="1:12">
      <c r="A28" s="298"/>
      <c r="B28" s="638">
        <v>2029</v>
      </c>
      <c r="C28" s="641">
        <v>1.0574990060064444E-2</v>
      </c>
      <c r="D28" s="635">
        <v>4.4999999999999998E-2</v>
      </c>
      <c r="E28"/>
      <c r="F28"/>
      <c r="G28"/>
      <c r="H28"/>
      <c r="I28"/>
      <c r="J28"/>
      <c r="K28"/>
      <c r="L28"/>
    </row>
    <row r="29" spans="1:12">
      <c r="A29" s="298"/>
      <c r="B29" s="639">
        <v>2030</v>
      </c>
      <c r="C29" s="642">
        <v>1.6957234673101982E-2</v>
      </c>
      <c r="D29" s="636">
        <v>4.4999999999999998E-2</v>
      </c>
      <c r="E29"/>
      <c r="F29"/>
      <c r="G29"/>
      <c r="H29"/>
      <c r="I29"/>
      <c r="J29"/>
      <c r="K29"/>
      <c r="L29"/>
    </row>
    <row r="30" spans="1:12">
      <c r="A30" s="298"/>
      <c r="B30" s="638">
        <v>2031</v>
      </c>
      <c r="C30" s="641">
        <v>9.1279918306910179E-3</v>
      </c>
      <c r="D30" s="635">
        <v>4.4999999999999998E-2</v>
      </c>
      <c r="E30"/>
      <c r="F30"/>
      <c r="G30"/>
      <c r="H30"/>
      <c r="I30"/>
      <c r="J30"/>
      <c r="K30"/>
      <c r="L30"/>
    </row>
    <row r="31" spans="1:12">
      <c r="A31" s="298"/>
      <c r="B31" s="638">
        <v>2032</v>
      </c>
      <c r="C31" s="641">
        <v>1.0497948737530871E-2</v>
      </c>
      <c r="D31" s="635">
        <v>4.4999999999999998E-2</v>
      </c>
      <c r="E31"/>
      <c r="F31"/>
      <c r="G31"/>
      <c r="H31"/>
      <c r="I31"/>
      <c r="J31"/>
      <c r="K31"/>
      <c r="L31"/>
    </row>
    <row r="32" spans="1:12">
      <c r="A32" s="298"/>
      <c r="B32" s="638">
        <v>2033</v>
      </c>
      <c r="C32" s="641">
        <v>7.1160137418880753E-3</v>
      </c>
      <c r="D32" s="635">
        <v>4.4999999999999998E-2</v>
      </c>
      <c r="E32"/>
      <c r="F32"/>
      <c r="G32"/>
      <c r="H32"/>
      <c r="I32"/>
      <c r="J32"/>
      <c r="K32"/>
      <c r="L32"/>
    </row>
    <row r="33" spans="1:12">
      <c r="A33" s="298"/>
      <c r="B33" s="638">
        <v>2034</v>
      </c>
      <c r="C33" s="641">
        <v>7.1518821960525909E-3</v>
      </c>
      <c r="D33" s="635">
        <v>4.4999999999999998E-2</v>
      </c>
      <c r="E33"/>
      <c r="F33"/>
      <c r="G33"/>
      <c r="H33"/>
      <c r="I33"/>
      <c r="J33"/>
      <c r="K33"/>
      <c r="L33"/>
    </row>
    <row r="34" spans="1:12">
      <c r="A34" s="298"/>
      <c r="B34" s="638">
        <v>2035</v>
      </c>
      <c r="C34" s="641">
        <v>1.5915076695388625E-2</v>
      </c>
      <c r="D34" s="635">
        <v>4.4999999999999998E-2</v>
      </c>
      <c r="E34"/>
      <c r="F34"/>
      <c r="G34"/>
      <c r="H34"/>
      <c r="I34"/>
      <c r="J34"/>
      <c r="K34"/>
      <c r="L34"/>
    </row>
    <row r="35" spans="1:12">
      <c r="A35" s="298"/>
      <c r="B35" s="638">
        <v>2036</v>
      </c>
      <c r="C35" s="641">
        <v>7.0144433724808183E-3</v>
      </c>
      <c r="D35" s="635">
        <v>4.4999999999999998E-2</v>
      </c>
      <c r="E35"/>
      <c r="F35"/>
      <c r="G35"/>
      <c r="H35"/>
      <c r="I35"/>
      <c r="J35"/>
      <c r="K35"/>
      <c r="L35"/>
    </row>
    <row r="36" spans="1:12">
      <c r="A36" s="298"/>
      <c r="B36" s="638">
        <v>2037</v>
      </c>
      <c r="C36" s="641">
        <v>9.5628504660248154E-3</v>
      </c>
      <c r="D36" s="635">
        <v>4.4999999999999998E-2</v>
      </c>
      <c r="E36"/>
      <c r="F36"/>
      <c r="G36"/>
      <c r="H36"/>
      <c r="I36"/>
      <c r="J36"/>
      <c r="K36"/>
      <c r="L36"/>
    </row>
    <row r="37" spans="1:12">
      <c r="A37" s="298"/>
      <c r="B37" s="638">
        <v>2038</v>
      </c>
      <c r="C37" s="641">
        <v>8.6902963796631118E-3</v>
      </c>
      <c r="D37" s="635">
        <v>4.4999999999999998E-2</v>
      </c>
      <c r="E37"/>
      <c r="F37"/>
      <c r="G37"/>
      <c r="H37"/>
      <c r="I37"/>
      <c r="J37"/>
      <c r="K37"/>
      <c r="L37"/>
    </row>
    <row r="38" spans="1:12">
      <c r="A38" s="298"/>
      <c r="B38" s="638">
        <v>2039</v>
      </c>
      <c r="C38" s="641">
        <v>8.7082013274770251E-3</v>
      </c>
      <c r="D38" s="635">
        <v>4.4999999999999998E-2</v>
      </c>
      <c r="E38"/>
      <c r="F38"/>
      <c r="G38"/>
      <c r="H38"/>
      <c r="I38"/>
      <c r="J38"/>
      <c r="K38"/>
      <c r="L38"/>
    </row>
    <row r="39" spans="1:12">
      <c r="A39" s="298"/>
      <c r="B39" s="639">
        <v>2040</v>
      </c>
      <c r="C39" s="642">
        <v>1.6066320884726218E-2</v>
      </c>
      <c r="D39" s="636">
        <v>4.4999999999999998E-2</v>
      </c>
      <c r="E39"/>
      <c r="F39"/>
      <c r="G39"/>
      <c r="H39"/>
      <c r="I39"/>
      <c r="J39"/>
      <c r="K39"/>
      <c r="L39"/>
    </row>
    <row r="40" spans="1:12">
      <c r="A40" s="482"/>
      <c r="B40" s="304" t="s">
        <v>221</v>
      </c>
      <c r="C40" s="559"/>
      <c r="D40" s="559"/>
      <c r="E40"/>
      <c r="F40"/>
      <c r="G40"/>
      <c r="H40"/>
      <c r="I40"/>
      <c r="J40"/>
      <c r="K40"/>
      <c r="L40"/>
    </row>
    <row r="41" spans="1:12">
      <c r="A41" s="482"/>
      <c r="B41" s="482"/>
      <c r="C41" s="482"/>
      <c r="D41" s="482"/>
      <c r="E41" s="482"/>
      <c r="F41" s="482"/>
      <c r="G41" s="482"/>
      <c r="H41" s="298"/>
      <c r="I41" s="298"/>
      <c r="J41" s="298"/>
      <c r="K41" s="298"/>
      <c r="L41" s="298"/>
    </row>
    <row r="42" spans="1:12">
      <c r="A42" s="482"/>
      <c r="B42" s="482"/>
      <c r="C42" s="482"/>
      <c r="D42" s="482"/>
      <c r="E42" s="482"/>
      <c r="F42" s="482"/>
      <c r="G42" s="482"/>
      <c r="H42" s="298"/>
      <c r="I42" s="298"/>
      <c r="J42" s="298"/>
      <c r="K42" s="298"/>
      <c r="L42" s="298"/>
    </row>
    <row r="43" spans="1:12">
      <c r="A43" s="482"/>
      <c r="B43" s="482"/>
      <c r="C43" s="482"/>
      <c r="D43" s="482"/>
      <c r="E43" s="482"/>
      <c r="F43" s="482"/>
      <c r="G43" s="482"/>
      <c r="H43" s="298"/>
      <c r="I43" s="298"/>
      <c r="J43" s="298"/>
      <c r="K43" s="298"/>
      <c r="L43" s="298"/>
    </row>
    <row r="44" spans="1:12">
      <c r="A44" s="482"/>
      <c r="B44" s="305" t="s">
        <v>305</v>
      </c>
      <c r="C44" s="20"/>
      <c r="D44" s="482"/>
      <c r="E44" s="482"/>
      <c r="F44" s="482"/>
      <c r="G44" s="482"/>
      <c r="H44" s="298"/>
      <c r="I44" s="298"/>
      <c r="J44" s="298"/>
      <c r="K44" s="298"/>
      <c r="L44" s="298"/>
    </row>
    <row r="45" spans="1:12" ht="21.75">
      <c r="A45" s="482"/>
      <c r="B45" s="300" t="s">
        <v>0</v>
      </c>
      <c r="C45" s="300" t="s">
        <v>306</v>
      </c>
      <c r="D45" s="567" t="s">
        <v>307</v>
      </c>
      <c r="E45" s="482"/>
      <c r="F45" s="482"/>
      <c r="G45" s="482"/>
      <c r="H45" s="298"/>
      <c r="I45" s="298"/>
      <c r="J45" s="298"/>
      <c r="K45" s="298"/>
      <c r="L45" s="298"/>
    </row>
    <row r="46" spans="1:12">
      <c r="A46" s="482"/>
      <c r="B46" s="560">
        <v>2016</v>
      </c>
      <c r="C46" s="561">
        <v>1</v>
      </c>
      <c r="D46" s="568">
        <v>1.530082459015796E-2</v>
      </c>
      <c r="E46" s="482"/>
      <c r="F46" s="482"/>
      <c r="G46" s="482"/>
      <c r="H46" s="298"/>
      <c r="I46" s="298"/>
      <c r="J46" s="298"/>
      <c r="K46" s="298"/>
      <c r="L46" s="298"/>
    </row>
    <row r="47" spans="1:12">
      <c r="A47" s="482"/>
      <c r="B47" s="562">
        <v>2017</v>
      </c>
      <c r="C47" s="563">
        <v>1.015378242898056</v>
      </c>
      <c r="D47" s="569">
        <f>(C47-C46)/C46</f>
        <v>1.5378242898056005E-2</v>
      </c>
      <c r="E47" s="482"/>
      <c r="F47" s="482"/>
      <c r="G47" s="482"/>
      <c r="H47" s="298"/>
      <c r="I47" s="298"/>
      <c r="J47" s="298"/>
      <c r="K47" s="298"/>
      <c r="L47" s="298"/>
    </row>
    <row r="48" spans="1:12">
      <c r="A48" s="482"/>
      <c r="B48" s="562">
        <v>2018</v>
      </c>
      <c r="C48" s="563">
        <v>1.0388955046693713</v>
      </c>
      <c r="D48" s="569">
        <f t="shared" ref="D48:D70" si="0">(C48-C47)/C47</f>
        <v>2.3161084980699586E-2</v>
      </c>
      <c r="E48" s="482"/>
      <c r="F48" s="482"/>
      <c r="G48" s="482"/>
      <c r="H48" s="298"/>
      <c r="I48" s="298"/>
      <c r="J48" s="298"/>
      <c r="K48" s="298"/>
      <c r="L48" s="298"/>
    </row>
    <row r="49" spans="1:12">
      <c r="A49" s="482"/>
      <c r="B49" s="562">
        <v>2019</v>
      </c>
      <c r="C49" s="563">
        <v>1.0599480178736018</v>
      </c>
      <c r="D49" s="569">
        <f t="shared" si="0"/>
        <v>2.0264322166771223E-2</v>
      </c>
      <c r="E49" s="482"/>
      <c r="F49" s="482"/>
      <c r="G49" s="482"/>
      <c r="H49" s="298"/>
      <c r="I49" s="298"/>
      <c r="J49" s="298"/>
      <c r="K49" s="298"/>
      <c r="L49" s="298"/>
    </row>
    <row r="50" spans="1:12">
      <c r="A50" s="482"/>
      <c r="B50" s="564">
        <v>2020</v>
      </c>
      <c r="C50" s="565">
        <v>1.0834901842768774</v>
      </c>
      <c r="D50" s="570">
        <f t="shared" si="0"/>
        <v>2.2210680152508145E-2</v>
      </c>
      <c r="E50" s="482"/>
      <c r="F50" s="482"/>
      <c r="G50" s="482"/>
      <c r="H50" s="298"/>
      <c r="I50" s="298"/>
      <c r="J50" s="298"/>
      <c r="K50" s="298"/>
      <c r="L50" s="298"/>
    </row>
    <row r="51" spans="1:12">
      <c r="A51" s="482"/>
      <c r="B51" s="560">
        <v>2021</v>
      </c>
      <c r="C51" s="561">
        <v>1.1044305864216388</v>
      </c>
      <c r="D51" s="568">
        <f t="shared" si="0"/>
        <v>1.9326803739100874E-2</v>
      </c>
      <c r="E51" s="482"/>
      <c r="F51" s="482"/>
      <c r="G51" s="482"/>
    </row>
    <row r="52" spans="1:12">
      <c r="A52" s="482"/>
      <c r="B52" s="562">
        <v>2022</v>
      </c>
      <c r="C52" s="563">
        <v>1.125959967178477</v>
      </c>
      <c r="D52" s="569">
        <f t="shared" si="0"/>
        <v>1.9493647696405714E-2</v>
      </c>
      <c r="E52" s="482"/>
      <c r="F52" s="482"/>
      <c r="G52" s="482"/>
    </row>
    <row r="53" spans="1:12">
      <c r="A53" s="482"/>
      <c r="B53" s="562">
        <v>2023</v>
      </c>
      <c r="C53" s="563">
        <v>1.148064800566037</v>
      </c>
      <c r="D53" s="569">
        <f t="shared" si="0"/>
        <v>1.9631988731315272E-2</v>
      </c>
      <c r="E53" s="482"/>
      <c r="F53" s="482"/>
      <c r="G53" s="482"/>
    </row>
    <row r="54" spans="1:12">
      <c r="A54" s="482"/>
      <c r="B54" s="562">
        <v>2024</v>
      </c>
      <c r="C54" s="563">
        <v>1.1703839160668221</v>
      </c>
      <c r="D54" s="569">
        <f t="shared" si="0"/>
        <v>1.9440640885236629E-2</v>
      </c>
      <c r="E54" s="482"/>
      <c r="F54" s="482"/>
      <c r="G54" s="482"/>
    </row>
    <row r="55" spans="1:12">
      <c r="A55" s="482"/>
      <c r="B55" s="562">
        <v>2025</v>
      </c>
      <c r="C55" s="563">
        <v>1.1930872777551023</v>
      </c>
      <c r="D55" s="569">
        <f t="shared" si="0"/>
        <v>1.939821743669955E-2</v>
      </c>
      <c r="E55" s="482"/>
      <c r="F55" s="482"/>
      <c r="G55" s="482"/>
    </row>
    <row r="56" spans="1:12">
      <c r="A56" s="482"/>
      <c r="B56" s="562">
        <v>2026</v>
      </c>
      <c r="C56" s="563">
        <v>1.2162303366683265</v>
      </c>
      <c r="D56" s="569">
        <f t="shared" si="0"/>
        <v>1.9397624419204181E-2</v>
      </c>
      <c r="E56" s="482"/>
      <c r="F56" s="482"/>
      <c r="G56" s="482"/>
    </row>
    <row r="57" spans="1:12">
      <c r="A57" s="482"/>
      <c r="B57" s="562">
        <v>2027</v>
      </c>
      <c r="C57" s="563">
        <v>1.2397929482315631</v>
      </c>
      <c r="D57" s="569">
        <f t="shared" si="0"/>
        <v>1.9373477911908268E-2</v>
      </c>
      <c r="E57" s="482"/>
      <c r="F57" s="482"/>
      <c r="G57" s="482"/>
    </row>
    <row r="58" spans="1:12">
      <c r="A58" s="482"/>
      <c r="B58" s="562">
        <v>2028</v>
      </c>
      <c r="C58" s="563">
        <v>1.2639700699704413</v>
      </c>
      <c r="D58" s="569">
        <f t="shared" si="0"/>
        <v>1.9500935033841239E-2</v>
      </c>
      <c r="E58" s="482"/>
      <c r="F58" s="482"/>
      <c r="G58" s="482"/>
    </row>
    <row r="59" spans="1:12">
      <c r="A59" s="482"/>
      <c r="B59" s="562">
        <v>2029</v>
      </c>
      <c r="C59" s="563">
        <v>1.2885069844392878</v>
      </c>
      <c r="D59" s="569">
        <f t="shared" si="0"/>
        <v>1.9412575544150622E-2</v>
      </c>
      <c r="E59" s="482"/>
      <c r="F59" s="482"/>
      <c r="G59" s="482"/>
    </row>
    <row r="60" spans="1:12">
      <c r="A60" s="482"/>
      <c r="B60" s="564">
        <v>2030</v>
      </c>
      <c r="C60" s="565">
        <v>1.3127997713173822</v>
      </c>
      <c r="D60" s="570">
        <f t="shared" si="0"/>
        <v>1.8853438259526234E-2</v>
      </c>
      <c r="E60" s="482"/>
      <c r="F60" s="482"/>
      <c r="G60" s="482"/>
    </row>
    <row r="61" spans="1:12">
      <c r="A61" s="482"/>
      <c r="B61" s="562">
        <v>2031</v>
      </c>
      <c r="C61" s="563">
        <v>1.3387003932070118</v>
      </c>
      <c r="D61" s="569">
        <f t="shared" si="0"/>
        <v>1.9729301037003207E-2</v>
      </c>
      <c r="E61" s="482"/>
      <c r="F61" s="482"/>
      <c r="G61" s="482"/>
    </row>
    <row r="62" spans="1:12">
      <c r="A62" s="482"/>
      <c r="B62" s="562">
        <v>2032</v>
      </c>
      <c r="C62" s="563">
        <v>1.3652571078546634</v>
      </c>
      <c r="D62" s="569">
        <f t="shared" si="0"/>
        <v>1.983768345957667E-2</v>
      </c>
      <c r="E62" s="482"/>
      <c r="F62" s="482"/>
      <c r="G62" s="482"/>
    </row>
    <row r="63" spans="1:12">
      <c r="A63" s="482"/>
      <c r="B63" s="562">
        <v>2033</v>
      </c>
      <c r="C63" s="563">
        <v>1.3923515207863164</v>
      </c>
      <c r="D63" s="569">
        <f t="shared" si="0"/>
        <v>1.9845648688274285E-2</v>
      </c>
      <c r="E63" s="482"/>
      <c r="F63" s="482"/>
      <c r="G63" s="482"/>
    </row>
    <row r="64" spans="1:12">
      <c r="A64" s="482"/>
      <c r="B64" s="562">
        <v>2034</v>
      </c>
      <c r="C64" s="563">
        <v>1.4198794326009381</v>
      </c>
      <c r="D64" s="569">
        <f t="shared" si="0"/>
        <v>1.9770806009588408E-2</v>
      </c>
      <c r="E64" s="482"/>
      <c r="F64" s="482"/>
      <c r="G64" s="482"/>
    </row>
    <row r="65" spans="1:7">
      <c r="A65" s="482"/>
      <c r="B65" s="562">
        <v>2035</v>
      </c>
      <c r="C65" s="563">
        <v>1.4477930280944036</v>
      </c>
      <c r="D65" s="569">
        <f t="shared" si="0"/>
        <v>1.9659130805446855E-2</v>
      </c>
      <c r="E65" s="482"/>
      <c r="F65" s="482"/>
      <c r="G65" s="482"/>
    </row>
    <row r="66" spans="1:7">
      <c r="A66" s="482"/>
      <c r="B66" s="562">
        <v>2036</v>
      </c>
      <c r="C66" s="563">
        <v>1.4761921038128596</v>
      </c>
      <c r="D66" s="569">
        <f t="shared" si="0"/>
        <v>1.9615425110752947E-2</v>
      </c>
      <c r="E66" s="482"/>
      <c r="F66" s="482"/>
      <c r="G66" s="482"/>
    </row>
    <row r="67" spans="1:7">
      <c r="A67" s="482"/>
      <c r="B67" s="562">
        <v>2037</v>
      </c>
      <c r="C67" s="563">
        <v>1.5049891462442506</v>
      </c>
      <c r="D67" s="569">
        <f t="shared" si="0"/>
        <v>1.9507652396331811E-2</v>
      </c>
      <c r="E67" s="482"/>
      <c r="F67" s="482"/>
      <c r="G67" s="482"/>
    </row>
    <row r="68" spans="1:7">
      <c r="A68" s="482"/>
      <c r="B68" s="562">
        <v>2038</v>
      </c>
      <c r="C68" s="563">
        <v>1.5342847661851799</v>
      </c>
      <c r="D68" s="569">
        <f t="shared" si="0"/>
        <v>1.946566858241968E-2</v>
      </c>
      <c r="E68" s="482"/>
      <c r="F68" s="482"/>
      <c r="G68" s="482"/>
    </row>
    <row r="69" spans="1:7">
      <c r="A69" s="482"/>
      <c r="B69" s="562">
        <v>2039</v>
      </c>
      <c r="C69" s="563">
        <v>1.5640254876855646</v>
      </c>
      <c r="D69" s="569">
        <f t="shared" si="0"/>
        <v>1.9384094892848008E-2</v>
      </c>
      <c r="E69" s="482"/>
      <c r="F69" s="482"/>
      <c r="G69" s="482"/>
    </row>
    <row r="70" spans="1:7">
      <c r="B70" s="564">
        <v>2040</v>
      </c>
      <c r="C70" s="566">
        <v>1.5941990922534417</v>
      </c>
      <c r="D70" s="570">
        <f t="shared" si="0"/>
        <v>1.9292271644836056E-2</v>
      </c>
    </row>
    <row r="71" spans="1:7">
      <c r="B71" s="558" t="s">
        <v>221</v>
      </c>
      <c r="C71" s="76"/>
    </row>
    <row r="75" spans="1:7">
      <c r="B75" s="571" t="s">
        <v>308</v>
      </c>
      <c r="C75" s="76"/>
    </row>
    <row r="76" spans="1:7">
      <c r="B76" s="572" t="s">
        <v>98</v>
      </c>
      <c r="C76" s="573">
        <v>7.4589999999999996</v>
      </c>
      <c r="E76" s="298"/>
    </row>
    <row r="77" spans="1:7">
      <c r="B77" s="574" t="s">
        <v>309</v>
      </c>
      <c r="C77" s="575">
        <v>6.25</v>
      </c>
      <c r="E77" s="298"/>
    </row>
    <row r="78" spans="1:7">
      <c r="B78" s="558" t="s">
        <v>462</v>
      </c>
      <c r="C78" s="76"/>
    </row>
    <row r="82" spans="2:5">
      <c r="B82" s="130" t="s">
        <v>150</v>
      </c>
      <c r="C82" s="298"/>
      <c r="D82" s="298"/>
      <c r="E82" s="298"/>
    </row>
    <row r="83" spans="2:5">
      <c r="B83" s="551" t="s">
        <v>151</v>
      </c>
      <c r="C83" s="551" t="s">
        <v>152</v>
      </c>
      <c r="D83" s="551" t="s">
        <v>152</v>
      </c>
      <c r="E83" s="551" t="s">
        <v>152</v>
      </c>
    </row>
    <row r="84" spans="2:5">
      <c r="B84" s="551" t="s">
        <v>153</v>
      </c>
      <c r="C84" s="551" t="s">
        <v>112</v>
      </c>
      <c r="D84" s="551" t="s">
        <v>154</v>
      </c>
      <c r="E84" s="551" t="s">
        <v>5</v>
      </c>
    </row>
    <row r="85" spans="2:5">
      <c r="B85" s="552">
        <v>1</v>
      </c>
      <c r="C85" s="553">
        <f>1/1000</f>
        <v>1E-3</v>
      </c>
      <c r="D85" s="554">
        <f>1/1000000</f>
        <v>9.9999999999999995E-7</v>
      </c>
      <c r="E85" s="555">
        <f>1/3600</f>
        <v>2.7777777777777778E-4</v>
      </c>
    </row>
    <row r="87" spans="2:5">
      <c r="B87" s="551" t="s">
        <v>151</v>
      </c>
      <c r="C87" s="551" t="s">
        <v>152</v>
      </c>
    </row>
    <row r="88" spans="2:5" ht="14.25">
      <c r="B88" s="551" t="s">
        <v>5</v>
      </c>
      <c r="C88" s="551" t="s">
        <v>304</v>
      </c>
    </row>
    <row r="89" spans="2:5">
      <c r="B89" s="552">
        <v>1</v>
      </c>
      <c r="C89" s="556">
        <f>1/12.1</f>
        <v>8.2644628099173556E-2</v>
      </c>
    </row>
    <row r="91" spans="2:5">
      <c r="B91" s="551" t="s">
        <v>151</v>
      </c>
      <c r="C91" s="551" t="s">
        <v>152</v>
      </c>
    </row>
    <row r="92" spans="2:5" ht="14.25">
      <c r="B92" s="551" t="s">
        <v>363</v>
      </c>
      <c r="C92" s="551" t="s">
        <v>5</v>
      </c>
    </row>
    <row r="93" spans="2:5">
      <c r="B93" s="551">
        <v>1</v>
      </c>
      <c r="C93" s="551">
        <v>12.1</v>
      </c>
    </row>
  </sheetData>
  <phoneticPr fontId="21" type="noConversion"/>
  <hyperlinks>
    <hyperlink ref="A2" location="Indholdsfortegnelse!A1" display="Indholdsfortegnelse"/>
  </hyperlinks>
  <pageMargins left="0.75" right="0.75" top="1" bottom="1" header="0" footer="0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>
    <tabColor theme="3" tint="0.39997558519241921"/>
  </sheetPr>
  <dimension ref="A1:AI42"/>
  <sheetViews>
    <sheetView workbookViewId="0">
      <selection activeCell="B7" sqref="B7"/>
    </sheetView>
  </sheetViews>
  <sheetFormatPr defaultRowHeight="12.75"/>
  <cols>
    <col min="2" max="2" width="10.140625" customWidth="1"/>
    <col min="3" max="3" width="6.7109375" customWidth="1"/>
    <col min="4" max="4" width="7.5703125" customWidth="1"/>
    <col min="5" max="5" width="8.42578125" customWidth="1"/>
    <col min="6" max="6" width="7.85546875" customWidth="1"/>
    <col min="7" max="10" width="6.7109375" customWidth="1"/>
    <col min="11" max="11" width="7.5703125" customWidth="1"/>
    <col min="12" max="12" width="9.5703125" customWidth="1"/>
    <col min="13" max="13" width="11.28515625" customWidth="1"/>
    <col min="16" max="21" width="9.140625" customWidth="1"/>
    <col min="24" max="25" width="9.140625" customWidth="1"/>
  </cols>
  <sheetData>
    <row r="1" spans="1:16">
      <c r="A1" s="130" t="s">
        <v>44</v>
      </c>
    </row>
    <row r="2" spans="1:16">
      <c r="A2" s="132" t="s">
        <v>56</v>
      </c>
    </row>
    <row r="3" spans="1:16">
      <c r="A3" s="318" t="s">
        <v>1</v>
      </c>
      <c r="B3" s="82"/>
    </row>
    <row r="4" spans="1:16">
      <c r="A4" s="82"/>
      <c r="B4" s="82"/>
    </row>
    <row r="5" spans="1:16">
      <c r="A5" s="82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6" ht="21">
      <c r="B6" s="293" t="s">
        <v>0</v>
      </c>
      <c r="C6" s="288" t="s">
        <v>45</v>
      </c>
      <c r="D6" s="289" t="s">
        <v>156</v>
      </c>
      <c r="E6" s="290" t="s">
        <v>46</v>
      </c>
      <c r="F6" s="291" t="s">
        <v>47</v>
      </c>
      <c r="G6" s="289" t="s">
        <v>48</v>
      </c>
      <c r="H6" s="291" t="s">
        <v>280</v>
      </c>
      <c r="I6" s="289" t="s">
        <v>49</v>
      </c>
      <c r="J6" s="290" t="s">
        <v>271</v>
      </c>
      <c r="K6" s="290" t="s">
        <v>50</v>
      </c>
      <c r="L6" s="290" t="s">
        <v>51</v>
      </c>
      <c r="M6" s="292" t="s">
        <v>272</v>
      </c>
      <c r="N6" s="4"/>
    </row>
    <row r="7" spans="1:16">
      <c r="B7" s="486">
        <v>2016</v>
      </c>
      <c r="C7" s="495">
        <v>11.664394366397021</v>
      </c>
      <c r="D7" s="496">
        <v>48.661230258045293</v>
      </c>
      <c r="E7" s="497">
        <v>34.329269973087676</v>
      </c>
      <c r="F7" s="498">
        <v>64.591562921710619</v>
      </c>
      <c r="G7" s="496">
        <v>24.215939939487853</v>
      </c>
      <c r="H7" s="498">
        <v>29.740963162059639</v>
      </c>
      <c r="I7" s="499">
        <v>41.735387286487004</v>
      </c>
      <c r="J7" s="500">
        <v>40.065971795027522</v>
      </c>
      <c r="K7" s="500">
        <v>48.756293558980147</v>
      </c>
      <c r="L7" s="500">
        <v>65.304098557746372</v>
      </c>
      <c r="M7" s="501">
        <v>69.656340758525602</v>
      </c>
      <c r="N7" s="78"/>
    </row>
    <row r="8" spans="1:16">
      <c r="B8" s="486">
        <v>2017</v>
      </c>
      <c r="C8" s="495">
        <v>10.608654677021059</v>
      </c>
      <c r="D8" s="496">
        <v>51.940034123371127</v>
      </c>
      <c r="E8" s="497">
        <v>37.793326256804434</v>
      </c>
      <c r="F8" s="498">
        <v>68.055619205427362</v>
      </c>
      <c r="G8" s="496">
        <v>26.638061354185172</v>
      </c>
      <c r="H8" s="498">
        <v>32.163084576756958</v>
      </c>
      <c r="I8" s="499">
        <v>42.038070583469761</v>
      </c>
      <c r="J8" s="500">
        <v>40.356547760130972</v>
      </c>
      <c r="K8" s="500">
        <v>49.109895541436636</v>
      </c>
      <c r="L8" s="500">
        <v>65.43171911511908</v>
      </c>
      <c r="M8" s="501">
        <v>69.77836811067958</v>
      </c>
      <c r="N8" s="78"/>
    </row>
    <row r="9" spans="1:16">
      <c r="B9" s="486">
        <v>2018</v>
      </c>
      <c r="C9" s="502">
        <v>10.047087370190141</v>
      </c>
      <c r="D9" s="503">
        <v>53.19922603124278</v>
      </c>
      <c r="E9" s="504">
        <v>39.123662507470826</v>
      </c>
      <c r="F9" s="498">
        <v>69.385955456093754</v>
      </c>
      <c r="G9" s="496">
        <v>26.902050586086908</v>
      </c>
      <c r="H9" s="498">
        <v>32.42707380865869</v>
      </c>
      <c r="I9" s="499">
        <v>42.34075388045251</v>
      </c>
      <c r="J9" s="500">
        <v>40.647123725234408</v>
      </c>
      <c r="K9" s="500">
        <v>49.463497523893118</v>
      </c>
      <c r="L9" s="500">
        <v>65.559339672491802</v>
      </c>
      <c r="M9" s="501">
        <v>69.900395462833572</v>
      </c>
      <c r="N9" s="78"/>
      <c r="P9" s="284"/>
    </row>
    <row r="10" spans="1:16">
      <c r="B10" s="487">
        <v>2019</v>
      </c>
      <c r="C10" s="505">
        <v>10.533790577808068</v>
      </c>
      <c r="D10" s="506">
        <v>55.875691187109844</v>
      </c>
      <c r="E10" s="507">
        <v>41.95134794464439</v>
      </c>
      <c r="F10" s="508">
        <v>72.213640893267325</v>
      </c>
      <c r="G10" s="509">
        <v>27.972155380231502</v>
      </c>
      <c r="H10" s="508">
        <v>33.497178602803281</v>
      </c>
      <c r="I10" s="499">
        <v>42.643437177435253</v>
      </c>
      <c r="J10" s="500">
        <v>40.937699690337844</v>
      </c>
      <c r="K10" s="500">
        <v>49.817099506349599</v>
      </c>
      <c r="L10" s="500">
        <v>65.686960229864511</v>
      </c>
      <c r="M10" s="501">
        <v>70.022422814987564</v>
      </c>
      <c r="N10" s="78"/>
      <c r="P10" s="284"/>
    </row>
    <row r="11" spans="1:16">
      <c r="B11" s="488">
        <v>2020</v>
      </c>
      <c r="C11" s="510">
        <v>11.463472658960935</v>
      </c>
      <c r="D11" s="511">
        <v>58.53180699892291</v>
      </c>
      <c r="E11" s="512">
        <v>44.757534299824883</v>
      </c>
      <c r="F11" s="513">
        <v>75.019827248447825</v>
      </c>
      <c r="G11" s="511">
        <v>28.458060840561039</v>
      </c>
      <c r="H11" s="513">
        <v>33.983084063132829</v>
      </c>
      <c r="I11" s="514">
        <v>42.946120474417995</v>
      </c>
      <c r="J11" s="515">
        <v>41.228275655441273</v>
      </c>
      <c r="K11" s="515">
        <v>50.170701488806074</v>
      </c>
      <c r="L11" s="515">
        <v>65.814580787237219</v>
      </c>
      <c r="M11" s="516">
        <v>70.144450167141571</v>
      </c>
      <c r="N11" s="78"/>
      <c r="P11" s="284"/>
    </row>
    <row r="12" spans="1:16">
      <c r="B12" s="489">
        <v>2021</v>
      </c>
      <c r="C12" s="517">
        <v>12.551185167140687</v>
      </c>
      <c r="D12" s="518">
        <v>61.988869449858996</v>
      </c>
      <c r="E12" s="519">
        <v>48.409920779238853</v>
      </c>
      <c r="F12" s="520">
        <v>78.672213727861788</v>
      </c>
      <c r="G12" s="518">
        <v>30.1626741278473</v>
      </c>
      <c r="H12" s="520">
        <v>35.687697350419086</v>
      </c>
      <c r="I12" s="521">
        <v>43.506369462889339</v>
      </c>
      <c r="J12" s="522">
        <v>41.766114684373761</v>
      </c>
      <c r="K12" s="522">
        <v>50.825197970665116</v>
      </c>
      <c r="L12" s="522">
        <v>66.330759262119301</v>
      </c>
      <c r="M12" s="523">
        <v>70.693040843337045</v>
      </c>
      <c r="N12" s="78"/>
      <c r="O12" s="284"/>
      <c r="P12" s="284"/>
    </row>
    <row r="13" spans="1:16">
      <c r="B13" s="490">
        <v>2022</v>
      </c>
      <c r="C13" s="505">
        <v>13.674691416292184</v>
      </c>
      <c r="D13" s="506">
        <v>66.049736709398431</v>
      </c>
      <c r="E13" s="507">
        <v>52.700227038942266</v>
      </c>
      <c r="F13" s="524">
        <v>82.962519987565202</v>
      </c>
      <c r="G13" s="506">
        <v>32.247580545274907</v>
      </c>
      <c r="H13" s="524">
        <v>37.772603767846697</v>
      </c>
      <c r="I13" s="499">
        <v>44.066618451360675</v>
      </c>
      <c r="J13" s="500">
        <v>42.30395371330625</v>
      </c>
      <c r="K13" s="500">
        <v>51.479694452524157</v>
      </c>
      <c r="L13" s="500">
        <v>66.846937737001397</v>
      </c>
      <c r="M13" s="501">
        <v>71.241631519532504</v>
      </c>
      <c r="N13" s="78"/>
      <c r="O13" s="284"/>
      <c r="P13" s="284"/>
    </row>
    <row r="14" spans="1:16">
      <c r="B14" s="490">
        <v>2023</v>
      </c>
      <c r="C14" s="505">
        <v>14.829167882055396</v>
      </c>
      <c r="D14" s="506">
        <v>70.668288102436691</v>
      </c>
      <c r="E14" s="507">
        <v>57.579726585687204</v>
      </c>
      <c r="F14" s="524">
        <v>87.842019534310126</v>
      </c>
      <c r="G14" s="506">
        <v>34.684058050603042</v>
      </c>
      <c r="H14" s="524">
        <v>40.209081273174824</v>
      </c>
      <c r="I14" s="499">
        <v>44.626867439832012</v>
      </c>
      <c r="J14" s="500">
        <v>42.841792742238731</v>
      </c>
      <c r="K14" s="500">
        <v>52.134190934383192</v>
      </c>
      <c r="L14" s="500">
        <v>67.363116211883465</v>
      </c>
      <c r="M14" s="501">
        <v>71.790222195727964</v>
      </c>
      <c r="N14" s="78"/>
      <c r="O14" s="284"/>
      <c r="P14" s="284"/>
    </row>
    <row r="15" spans="1:16">
      <c r="B15" s="490">
        <v>2024</v>
      </c>
      <c r="C15" s="505">
        <v>16.013484132314233</v>
      </c>
      <c r="D15" s="506">
        <v>75.814522059805782</v>
      </c>
      <c r="E15" s="507">
        <v>63.016722761647635</v>
      </c>
      <c r="F15" s="524">
        <v>93.279015710270585</v>
      </c>
      <c r="G15" s="506">
        <v>37.45310969127798</v>
      </c>
      <c r="H15" s="524">
        <v>42.97813291384977</v>
      </c>
      <c r="I15" s="499">
        <v>45.187116428303348</v>
      </c>
      <c r="J15" s="500">
        <v>43.379631771171212</v>
      </c>
      <c r="K15" s="500">
        <v>52.788687416242233</v>
      </c>
      <c r="L15" s="500">
        <v>67.879294686765562</v>
      </c>
      <c r="M15" s="501">
        <v>72.338812871923423</v>
      </c>
      <c r="N15" s="78"/>
      <c r="O15" s="284"/>
      <c r="P15" s="284"/>
    </row>
    <row r="16" spans="1:16">
      <c r="B16" s="490">
        <v>2025</v>
      </c>
      <c r="C16" s="505">
        <v>17.22302694306099</v>
      </c>
      <c r="D16" s="506">
        <v>81.445748656984847</v>
      </c>
      <c r="E16" s="507">
        <v>68.96611366156732</v>
      </c>
      <c r="F16" s="524">
        <v>99.228406610190248</v>
      </c>
      <c r="G16" s="506">
        <v>40.528173127087726</v>
      </c>
      <c r="H16" s="524">
        <v>46.053196349659508</v>
      </c>
      <c r="I16" s="499">
        <v>45.747365416774691</v>
      </c>
      <c r="J16" s="500">
        <v>43.886088946925391</v>
      </c>
      <c r="K16" s="500">
        <v>53.443183898101275</v>
      </c>
      <c r="L16" s="500">
        <v>68.395473161647644</v>
      </c>
      <c r="M16" s="501">
        <v>72.887403548118911</v>
      </c>
      <c r="N16" s="78"/>
      <c r="O16" s="284"/>
      <c r="P16" s="284"/>
    </row>
    <row r="17" spans="2:16">
      <c r="B17" s="490">
        <v>2026</v>
      </c>
      <c r="C17" s="505">
        <v>18.453810075255319</v>
      </c>
      <c r="D17" s="506">
        <v>87.522511253512263</v>
      </c>
      <c r="E17" s="507">
        <v>75.386213344798549</v>
      </c>
      <c r="F17" s="524">
        <v>105.64850629342146</v>
      </c>
      <c r="G17" s="506">
        <v>43.884654502830536</v>
      </c>
      <c r="H17" s="524">
        <v>49.409677725402311</v>
      </c>
      <c r="I17" s="499">
        <v>46.438810733436924</v>
      </c>
      <c r="J17" s="500">
        <v>44.206270692555286</v>
      </c>
      <c r="K17" s="500">
        <v>54.250947118501081</v>
      </c>
      <c r="L17" s="500">
        <v>69.111010287754297</v>
      </c>
      <c r="M17" s="501">
        <v>73.651294100257232</v>
      </c>
      <c r="N17" s="78"/>
      <c r="O17" s="284"/>
      <c r="P17" s="284"/>
    </row>
    <row r="18" spans="2:16">
      <c r="B18" s="490">
        <v>2027</v>
      </c>
      <c r="C18" s="505">
        <v>19.702792108651337</v>
      </c>
      <c r="D18" s="506">
        <v>94.010266818811587</v>
      </c>
      <c r="E18" s="507">
        <v>82.24052709953726</v>
      </c>
      <c r="F18" s="524">
        <v>112.5028200481602</v>
      </c>
      <c r="G18" s="506">
        <v>47.500952712310344</v>
      </c>
      <c r="H18" s="524">
        <v>53.025975934882133</v>
      </c>
      <c r="I18" s="499">
        <v>47.130256050099156</v>
      </c>
      <c r="J18" s="500">
        <v>44.526452438185188</v>
      </c>
      <c r="K18" s="500">
        <v>55.058710338900887</v>
      </c>
      <c r="L18" s="500">
        <v>69.826547413860936</v>
      </c>
      <c r="M18" s="501">
        <v>74.415184652395553</v>
      </c>
      <c r="N18" s="78"/>
      <c r="O18" s="284"/>
      <c r="P18" s="284"/>
    </row>
    <row r="19" spans="2:16">
      <c r="B19" s="490">
        <v>2028</v>
      </c>
      <c r="C19" s="505">
        <v>20.963966838447924</v>
      </c>
      <c r="D19" s="506">
        <v>100.86181073972016</v>
      </c>
      <c r="E19" s="507">
        <v>89.479183251977176</v>
      </c>
      <c r="F19" s="524">
        <v>119.7414762006001</v>
      </c>
      <c r="G19" s="506">
        <v>51.347837540448019</v>
      </c>
      <c r="H19" s="524">
        <v>56.872860763019808</v>
      </c>
      <c r="I19" s="499">
        <v>47.821701366761395</v>
      </c>
      <c r="J19" s="500">
        <v>44.846634183815091</v>
      </c>
      <c r="K19" s="500">
        <v>55.866473559300694</v>
      </c>
      <c r="L19" s="500">
        <v>70.542084539967576</v>
      </c>
      <c r="M19" s="501">
        <v>75.179075204533859</v>
      </c>
      <c r="N19" s="78"/>
      <c r="O19" s="284"/>
      <c r="P19" s="284"/>
    </row>
    <row r="20" spans="2:16">
      <c r="B20" s="490">
        <v>2029</v>
      </c>
      <c r="C20" s="525">
        <v>22.237953091588285</v>
      </c>
      <c r="D20" s="526">
        <v>108.06069354204512</v>
      </c>
      <c r="E20" s="527">
        <v>97.084802932633465</v>
      </c>
      <c r="F20" s="528">
        <v>127.34709588125641</v>
      </c>
      <c r="G20" s="506">
        <v>55.414699924134077</v>
      </c>
      <c r="H20" s="524">
        <v>60.939723146705866</v>
      </c>
      <c r="I20" s="499">
        <v>48.513146683423628</v>
      </c>
      <c r="J20" s="500">
        <v>45.166815929444986</v>
      </c>
      <c r="K20" s="500">
        <v>56.6742367797005</v>
      </c>
      <c r="L20" s="500">
        <v>71.257621666074215</v>
      </c>
      <c r="M20" s="501">
        <v>75.94296575667218</v>
      </c>
      <c r="N20" s="78"/>
      <c r="O20" s="284"/>
      <c r="P20" s="284"/>
    </row>
    <row r="21" spans="2:16">
      <c r="B21" s="491">
        <v>2030</v>
      </c>
      <c r="C21" s="529">
        <v>23.53310795236797</v>
      </c>
      <c r="D21" s="530">
        <v>115.62940598851907</v>
      </c>
      <c r="E21" s="531">
        <v>105.08114763233321</v>
      </c>
      <c r="F21" s="532">
        <v>135.34344058095616</v>
      </c>
      <c r="G21" s="533">
        <v>59.71460915923668</v>
      </c>
      <c r="H21" s="534">
        <v>65.239632381808462</v>
      </c>
      <c r="I21" s="514">
        <v>49.204592000085853</v>
      </c>
      <c r="J21" s="515">
        <v>45.771713488451965</v>
      </c>
      <c r="K21" s="515">
        <v>57.4820000001003</v>
      </c>
      <c r="L21" s="515">
        <v>71.97315879218084</v>
      </c>
      <c r="M21" s="516">
        <v>76.706856308810487</v>
      </c>
      <c r="N21" s="78"/>
      <c r="O21" s="284"/>
      <c r="P21" s="284"/>
    </row>
    <row r="22" spans="2:16">
      <c r="B22" s="492">
        <v>2031</v>
      </c>
      <c r="C22" s="535">
        <v>23.736129179892586</v>
      </c>
      <c r="D22" s="536">
        <v>117.57823295973367</v>
      </c>
      <c r="E22" s="537">
        <v>107.14008332742145</v>
      </c>
      <c r="F22" s="538">
        <v>137.40237627604438</v>
      </c>
      <c r="G22" s="536">
        <v>60.690165637279684</v>
      </c>
      <c r="H22" s="538">
        <v>66.21518885985148</v>
      </c>
      <c r="I22" s="521">
        <v>49.616853632897403</v>
      </c>
      <c r="J22" s="522">
        <v>46.155212681765029</v>
      </c>
      <c r="K22" s="522">
        <v>57.963614057123138</v>
      </c>
      <c r="L22" s="522">
        <v>72.320119089710957</v>
      </c>
      <c r="M22" s="523">
        <v>77.065963282093321</v>
      </c>
      <c r="N22" s="78"/>
      <c r="O22" s="284"/>
      <c r="P22" s="284"/>
    </row>
    <row r="23" spans="2:16">
      <c r="B23" s="493">
        <v>2032</v>
      </c>
      <c r="C23" s="539">
        <v>23.920009116895024</v>
      </c>
      <c r="D23" s="540">
        <v>119.39766774723032</v>
      </c>
      <c r="E23" s="541">
        <v>109.06231618041166</v>
      </c>
      <c r="F23" s="542">
        <v>139.3246091290346</v>
      </c>
      <c r="G23" s="540">
        <v>61.5952847253172</v>
      </c>
      <c r="H23" s="542">
        <v>67.120307947888975</v>
      </c>
      <c r="I23" s="499">
        <v>50.029115265708946</v>
      </c>
      <c r="J23" s="500">
        <v>46.538711875078093</v>
      </c>
      <c r="K23" s="500">
        <v>58.445228114145969</v>
      </c>
      <c r="L23" s="500">
        <v>72.667079387241088</v>
      </c>
      <c r="M23" s="501">
        <v>77.425070255376156</v>
      </c>
      <c r="N23" s="78"/>
      <c r="O23" s="284"/>
      <c r="P23" s="284"/>
    </row>
    <row r="24" spans="2:16">
      <c r="B24" s="493">
        <v>2033</v>
      </c>
      <c r="C24" s="539">
        <v>24.087619361151166</v>
      </c>
      <c r="D24" s="540">
        <v>121.10248608776196</v>
      </c>
      <c r="E24" s="541">
        <v>110.86345675718334</v>
      </c>
      <c r="F24" s="542">
        <v>141.12574970580627</v>
      </c>
      <c r="G24" s="540">
        <v>62.438696145918414</v>
      </c>
      <c r="H24" s="542">
        <v>67.963719368490189</v>
      </c>
      <c r="I24" s="499">
        <v>50.441376898520495</v>
      </c>
      <c r="J24" s="500">
        <v>46.922211068391164</v>
      </c>
      <c r="K24" s="500">
        <v>58.926842171168808</v>
      </c>
      <c r="L24" s="500">
        <v>73.014039684771205</v>
      </c>
      <c r="M24" s="501">
        <v>77.784177228659004</v>
      </c>
      <c r="N24" s="78"/>
      <c r="O24" s="284"/>
      <c r="P24" s="284"/>
    </row>
    <row r="25" spans="2:16">
      <c r="B25" s="493">
        <v>2034</v>
      </c>
      <c r="C25" s="539">
        <v>24.241469583717969</v>
      </c>
      <c r="D25" s="540">
        <v>122.7060123917297</v>
      </c>
      <c r="E25" s="541">
        <v>112.55758229732527</v>
      </c>
      <c r="F25" s="542">
        <v>142.8198752459482</v>
      </c>
      <c r="G25" s="540">
        <v>63.228192236598773</v>
      </c>
      <c r="H25" s="542">
        <v>68.753215459170562</v>
      </c>
      <c r="I25" s="499">
        <v>50.853638531332045</v>
      </c>
      <c r="J25" s="500">
        <v>47.305710261704228</v>
      </c>
      <c r="K25" s="500">
        <v>59.408456228191639</v>
      </c>
      <c r="L25" s="500">
        <v>73.360999982301323</v>
      </c>
      <c r="M25" s="501">
        <v>78.143284201941839</v>
      </c>
      <c r="N25" s="78"/>
      <c r="O25" s="284"/>
      <c r="P25" s="284"/>
    </row>
    <row r="26" spans="2:16" s="284" customFormat="1">
      <c r="B26" s="493">
        <v>2035</v>
      </c>
      <c r="C26" s="539">
        <v>24.383007161792033</v>
      </c>
      <c r="D26" s="540">
        <v>124.21654935611227</v>
      </c>
      <c r="E26" s="541">
        <v>114.15346460019546</v>
      </c>
      <c r="F26" s="542">
        <v>144.41575754881839</v>
      </c>
      <c r="G26" s="540">
        <v>63.968512029882469</v>
      </c>
      <c r="H26" s="542">
        <v>69.493535252454251</v>
      </c>
      <c r="I26" s="499">
        <v>51.265900164143588</v>
      </c>
      <c r="J26" s="500">
        <v>47.689209455017291</v>
      </c>
      <c r="K26" s="500">
        <v>59.89007028521447</v>
      </c>
      <c r="L26" s="500">
        <v>73.707960279831426</v>
      </c>
      <c r="M26" s="501">
        <v>78.502391175224702</v>
      </c>
      <c r="N26" s="78"/>
    </row>
    <row r="27" spans="2:16" s="284" customFormat="1">
      <c r="B27" s="493">
        <v>2036</v>
      </c>
      <c r="C27" s="539">
        <v>24.511171799310709</v>
      </c>
      <c r="D27" s="540">
        <v>125.62997485344735</v>
      </c>
      <c r="E27" s="541">
        <v>115.64674863812995</v>
      </c>
      <c r="F27" s="542">
        <v>145.90904158675289</v>
      </c>
      <c r="G27" s="540">
        <v>64.656960763950153</v>
      </c>
      <c r="H27" s="542">
        <v>70.181983986521942</v>
      </c>
      <c r="I27" s="499">
        <v>51.651546059457949</v>
      </c>
      <c r="J27" s="500">
        <v>48.047949822751583</v>
      </c>
      <c r="K27" s="500">
        <v>60.34059119095555</v>
      </c>
      <c r="L27" s="500">
        <v>74.015552943691958</v>
      </c>
      <c r="M27" s="501">
        <v>78.81877053807726</v>
      </c>
      <c r="N27" s="78"/>
    </row>
    <row r="28" spans="2:16" s="284" customFormat="1">
      <c r="B28" s="493">
        <v>2037</v>
      </c>
      <c r="C28" s="539">
        <v>24.628020479052555</v>
      </c>
      <c r="D28" s="540">
        <v>126.95755933705226</v>
      </c>
      <c r="E28" s="541">
        <v>117.04934164505853</v>
      </c>
      <c r="F28" s="542">
        <v>147.31163459368148</v>
      </c>
      <c r="G28" s="540">
        <v>65.300063722366318</v>
      </c>
      <c r="H28" s="542">
        <v>70.825086944938107</v>
      </c>
      <c r="I28" s="499">
        <v>52.037191954772311</v>
      </c>
      <c r="J28" s="500">
        <v>48.406690190485875</v>
      </c>
      <c r="K28" s="500">
        <v>60.791112096696622</v>
      </c>
      <c r="L28" s="500">
        <v>74.32314560755249</v>
      </c>
      <c r="M28" s="501">
        <v>79.135149900929818</v>
      </c>
      <c r="N28" s="78"/>
    </row>
    <row r="29" spans="2:16" s="284" customFormat="1">
      <c r="B29" s="493">
        <v>2038</v>
      </c>
      <c r="C29" s="539">
        <v>24.73248656286459</v>
      </c>
      <c r="D29" s="540">
        <v>128.19496828162465</v>
      </c>
      <c r="E29" s="541">
        <v>118.35666419499927</v>
      </c>
      <c r="F29" s="542">
        <v>148.6189571436222</v>
      </c>
      <c r="G29" s="540">
        <v>65.895035614810752</v>
      </c>
      <c r="H29" s="542">
        <v>71.420058837382527</v>
      </c>
      <c r="I29" s="499">
        <v>52.422837850086673</v>
      </c>
      <c r="J29" s="500">
        <v>48.76543055822016</v>
      </c>
      <c r="K29" s="500">
        <v>61.241633002437702</v>
      </c>
      <c r="L29" s="500">
        <v>74.630738271413009</v>
      </c>
      <c r="M29" s="501">
        <v>79.451529263782376</v>
      </c>
      <c r="N29" s="78"/>
    </row>
    <row r="30" spans="2:16" s="284" customFormat="1">
      <c r="B30" s="493">
        <v>2039</v>
      </c>
      <c r="C30" s="539">
        <v>24.826010036115925</v>
      </c>
      <c r="D30" s="540">
        <v>129.35036619647263</v>
      </c>
      <c r="E30" s="541">
        <v>119.57734209203618</v>
      </c>
      <c r="F30" s="542">
        <v>149.83963504065909</v>
      </c>
      <c r="G30" s="540">
        <v>66.446553307522208</v>
      </c>
      <c r="H30" s="542">
        <v>71.971576530093984</v>
      </c>
      <c r="I30" s="499">
        <v>52.808483745401027</v>
      </c>
      <c r="J30" s="500">
        <v>49.124170925954445</v>
      </c>
      <c r="K30" s="500">
        <v>61.692153908178774</v>
      </c>
      <c r="L30" s="500">
        <v>74.938330935273541</v>
      </c>
      <c r="M30" s="501">
        <v>79.767908626634934</v>
      </c>
      <c r="N30" s="78"/>
    </row>
    <row r="31" spans="2:16">
      <c r="B31" s="494">
        <v>2040</v>
      </c>
      <c r="C31" s="543">
        <v>24.909314839334744</v>
      </c>
      <c r="D31" s="544">
        <v>130.42834306069577</v>
      </c>
      <c r="E31" s="545">
        <v>120.71622464908791</v>
      </c>
      <c r="F31" s="546">
        <v>150.97851759771083</v>
      </c>
      <c r="G31" s="544">
        <v>66.957160416771828</v>
      </c>
      <c r="H31" s="546">
        <v>72.482183639343617</v>
      </c>
      <c r="I31" s="547">
        <v>53.194129640715381</v>
      </c>
      <c r="J31" s="548">
        <v>49.48291129368873</v>
      </c>
      <c r="K31" s="548">
        <v>62.142674813919839</v>
      </c>
      <c r="L31" s="548">
        <v>75.245923599134088</v>
      </c>
      <c r="M31" s="549">
        <v>80.084287989487464</v>
      </c>
      <c r="N31" s="78"/>
      <c r="O31" s="284"/>
      <c r="P31" s="284"/>
    </row>
    <row r="32" spans="2:16" ht="12.75" customHeight="1">
      <c r="B32" s="294" t="s">
        <v>273</v>
      </c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O32" s="284"/>
      <c r="P32" s="284"/>
    </row>
    <row r="33" spans="1:35" s="284" customFormat="1">
      <c r="B33" s="297"/>
      <c r="C33" s="297"/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297"/>
      <c r="T33" s="297"/>
      <c r="U33" s="297"/>
      <c r="V33" s="297"/>
      <c r="W33" s="297"/>
      <c r="X33" s="297"/>
      <c r="Y33" s="297"/>
    </row>
    <row r="34" spans="1:35">
      <c r="B34" s="130" t="s">
        <v>269</v>
      </c>
      <c r="O34" s="284"/>
      <c r="P34" s="284"/>
    </row>
    <row r="35" spans="1:35">
      <c r="B35" s="322"/>
      <c r="C35" s="297" t="s">
        <v>278</v>
      </c>
      <c r="D35" s="297"/>
      <c r="E35" s="297"/>
      <c r="F35" s="297"/>
      <c r="G35" s="297"/>
      <c r="H35" s="297"/>
      <c r="I35" s="297"/>
      <c r="O35" s="284"/>
      <c r="P35" s="284"/>
    </row>
    <row r="36" spans="1:35">
      <c r="B36" s="323"/>
      <c r="C36" s="297" t="s">
        <v>268</v>
      </c>
      <c r="D36" s="297"/>
      <c r="E36" s="297"/>
      <c r="F36" s="297"/>
      <c r="G36" s="297"/>
      <c r="H36" s="297"/>
      <c r="I36" s="297"/>
      <c r="O36" s="284"/>
      <c r="P36" s="284"/>
    </row>
    <row r="37" spans="1:35">
      <c r="A37" s="84"/>
      <c r="B37" s="324"/>
      <c r="C37" s="297" t="s">
        <v>270</v>
      </c>
      <c r="D37" s="297"/>
      <c r="E37" s="297"/>
      <c r="F37" s="297"/>
      <c r="G37" s="297"/>
      <c r="H37" s="297"/>
      <c r="I37" s="297"/>
      <c r="O37" s="284"/>
      <c r="P37" s="284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</row>
    <row r="38" spans="1:35">
      <c r="A38" s="284"/>
      <c r="B38" s="284"/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</row>
    <row r="39" spans="1:35" s="284" customFormat="1">
      <c r="B39" s="130" t="s">
        <v>279</v>
      </c>
    </row>
    <row r="40" spans="1:35">
      <c r="A40" s="284"/>
      <c r="B40" s="284" t="s">
        <v>45</v>
      </c>
      <c r="C40" s="842">
        <v>42445</v>
      </c>
      <c r="D40" s="842"/>
      <c r="E40" s="284" t="s">
        <v>276</v>
      </c>
      <c r="H40" s="132" t="s">
        <v>274</v>
      </c>
      <c r="I40" s="284"/>
      <c r="J40" s="284"/>
      <c r="K40" s="284"/>
      <c r="L40" s="284"/>
      <c r="M40" s="284"/>
      <c r="N40" s="284"/>
      <c r="O40" s="284"/>
      <c r="P40" s="284"/>
    </row>
    <row r="41" spans="1:35" s="284" customFormat="1">
      <c r="B41" s="284" t="s">
        <v>156</v>
      </c>
      <c r="C41" s="842">
        <v>42445</v>
      </c>
      <c r="D41" s="842"/>
      <c r="E41" s="284" t="s">
        <v>275</v>
      </c>
      <c r="H41" s="132" t="s">
        <v>274</v>
      </c>
    </row>
    <row r="42" spans="1:35">
      <c r="A42" s="284"/>
      <c r="B42" s="284" t="s">
        <v>48</v>
      </c>
      <c r="C42" s="842">
        <v>42445</v>
      </c>
      <c r="D42" s="842"/>
      <c r="E42" s="284" t="s">
        <v>277</v>
      </c>
      <c r="F42" s="284"/>
      <c r="G42" s="284"/>
      <c r="H42" s="132" t="s">
        <v>274</v>
      </c>
      <c r="I42" s="284"/>
      <c r="J42" s="284"/>
      <c r="K42" s="284"/>
      <c r="L42" s="284"/>
      <c r="M42" s="284"/>
      <c r="N42" s="284"/>
      <c r="P42" s="284"/>
    </row>
  </sheetData>
  <mergeCells count="3">
    <mergeCell ref="C42:D42"/>
    <mergeCell ref="C40:D40"/>
    <mergeCell ref="C41:D41"/>
  </mergeCells>
  <phoneticPr fontId="13" type="noConversion"/>
  <hyperlinks>
    <hyperlink ref="A2" location="Indholdsfortegnelse!A1" display="Indholdsfortegnelse"/>
    <hyperlink ref="H40" r:id="rId1"/>
    <hyperlink ref="H41" r:id="rId2"/>
    <hyperlink ref="H42" r:id="rId3"/>
  </hyperlinks>
  <pageMargins left="0.75" right="0.75" top="1" bottom="1" header="0" footer="0"/>
  <pageSetup paperSize="9" orientation="portrait" verticalDpi="0" r:id="rId4"/>
  <headerFooter alignWithMargins="0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>
    <tabColor theme="3" tint="0.39997558519241921"/>
  </sheetPr>
  <dimension ref="A1:M48"/>
  <sheetViews>
    <sheetView workbookViewId="0"/>
  </sheetViews>
  <sheetFormatPr defaultRowHeight="12.75"/>
  <cols>
    <col min="2" max="3" width="10.7109375" customWidth="1"/>
    <col min="4" max="4" width="9.140625" customWidth="1"/>
    <col min="5" max="5" width="9.140625" style="297" customWidth="1"/>
    <col min="8" max="8" width="34" bestFit="1" customWidth="1"/>
    <col min="9" max="9" width="9.5703125" customWidth="1"/>
    <col min="11" max="11" width="11" bestFit="1" customWidth="1"/>
    <col min="12" max="13" width="9.140625" customWidth="1"/>
  </cols>
  <sheetData>
    <row r="1" spans="1:13">
      <c r="A1" s="130" t="s">
        <v>102</v>
      </c>
      <c r="B1" s="297"/>
      <c r="C1" s="297"/>
      <c r="D1" s="297"/>
      <c r="F1" s="297"/>
      <c r="G1" s="297"/>
      <c r="H1" s="297"/>
      <c r="L1" s="297"/>
      <c r="M1" s="297"/>
    </row>
    <row r="2" spans="1:13">
      <c r="A2" s="132" t="s">
        <v>56</v>
      </c>
      <c r="L2" s="297"/>
      <c r="M2" s="297"/>
    </row>
    <row r="3" spans="1:13">
      <c r="A3" s="318" t="s">
        <v>1</v>
      </c>
      <c r="L3" s="297"/>
      <c r="M3" s="297"/>
    </row>
    <row r="4" spans="1:13" s="297" customFormat="1">
      <c r="A4" s="318"/>
    </row>
    <row r="5" spans="1:13">
      <c r="D5" s="298"/>
      <c r="E5" s="298"/>
      <c r="F5" s="298"/>
      <c r="G5" s="298"/>
      <c r="L5" s="297"/>
      <c r="M5" s="297"/>
    </row>
    <row r="6" spans="1:13">
      <c r="B6" s="299" t="s">
        <v>0</v>
      </c>
      <c r="C6" s="300" t="s">
        <v>281</v>
      </c>
      <c r="D6" s="298"/>
      <c r="E6" s="298"/>
      <c r="F6" s="298"/>
      <c r="G6" s="298"/>
      <c r="H6" s="305" t="s">
        <v>290</v>
      </c>
      <c r="I6" s="20"/>
      <c r="J6" s="20"/>
      <c r="K6" s="20"/>
      <c r="L6" s="297"/>
      <c r="M6" s="297"/>
    </row>
    <row r="7" spans="1:13">
      <c r="B7" s="309">
        <v>2016</v>
      </c>
      <c r="C7" s="588">
        <v>36.399919999999995</v>
      </c>
      <c r="D7" s="298"/>
      <c r="E7" s="298"/>
      <c r="F7" s="298"/>
      <c r="G7" s="298"/>
      <c r="H7" s="849"/>
      <c r="I7" s="849"/>
      <c r="J7" s="849"/>
      <c r="K7" s="306" t="s">
        <v>288</v>
      </c>
      <c r="L7" s="297"/>
      <c r="M7" s="297"/>
    </row>
    <row r="8" spans="1:13">
      <c r="B8" s="310">
        <v>2017</v>
      </c>
      <c r="C8" s="588">
        <v>36.069011972789546</v>
      </c>
      <c r="D8" s="298"/>
      <c r="E8" s="298"/>
      <c r="F8" s="298"/>
      <c r="G8" s="298"/>
      <c r="H8" s="850" t="s">
        <v>287</v>
      </c>
      <c r="I8" s="851"/>
      <c r="J8" s="852"/>
      <c r="K8" s="484">
        <v>11.6</v>
      </c>
      <c r="L8" s="297"/>
      <c r="M8" s="297"/>
    </row>
    <row r="9" spans="1:13">
      <c r="B9" s="314">
        <v>2018</v>
      </c>
      <c r="C9" s="589">
        <v>35.755107066154515</v>
      </c>
      <c r="D9" s="298"/>
      <c r="E9" s="298"/>
      <c r="F9" s="298"/>
      <c r="G9" s="298"/>
      <c r="H9" s="304" t="s">
        <v>286</v>
      </c>
      <c r="I9" s="20"/>
      <c r="J9" s="20"/>
      <c r="K9" s="20"/>
      <c r="L9" s="297"/>
      <c r="M9" s="297"/>
    </row>
    <row r="10" spans="1:13">
      <c r="B10" s="311">
        <v>2019</v>
      </c>
      <c r="C10" s="590">
        <v>42.052424228482295</v>
      </c>
      <c r="D10" s="298"/>
      <c r="E10" s="298"/>
      <c r="F10" s="298"/>
      <c r="G10" s="298"/>
      <c r="H10" s="20"/>
      <c r="I10" s="20"/>
      <c r="J10" s="20"/>
      <c r="K10" s="20"/>
      <c r="L10" s="297"/>
      <c r="M10" s="297"/>
    </row>
    <row r="11" spans="1:13">
      <c r="B11" s="311">
        <v>2020</v>
      </c>
      <c r="C11" s="590">
        <v>50.843248405421292</v>
      </c>
      <c r="D11" s="298"/>
      <c r="E11" s="298"/>
      <c r="F11" s="298"/>
      <c r="G11" s="298"/>
      <c r="H11" s="305" t="s">
        <v>289</v>
      </c>
      <c r="I11" s="20"/>
      <c r="J11" s="20"/>
      <c r="K11" s="20"/>
      <c r="L11" s="297"/>
      <c r="M11" s="297"/>
    </row>
    <row r="12" spans="1:13">
      <c r="B12" s="311">
        <v>2021</v>
      </c>
      <c r="C12" s="590">
        <v>61.060107923949296</v>
      </c>
      <c r="D12" s="298"/>
      <c r="E12" s="298"/>
      <c r="F12" s="298"/>
      <c r="G12" s="298"/>
      <c r="H12" s="845"/>
      <c r="I12" s="843">
        <v>2016</v>
      </c>
      <c r="J12" s="844"/>
      <c r="K12" s="847" t="s">
        <v>284</v>
      </c>
      <c r="L12" s="297"/>
      <c r="M12" s="297"/>
    </row>
    <row r="13" spans="1:13">
      <c r="B13" s="311">
        <v>2022</v>
      </c>
      <c r="C13" s="590">
        <v>72.871266306403768</v>
      </c>
      <c r="D13" s="298"/>
      <c r="E13" s="298"/>
      <c r="F13" s="298"/>
      <c r="G13" s="298"/>
      <c r="H13" s="846"/>
      <c r="I13" s="299" t="s">
        <v>282</v>
      </c>
      <c r="J13" s="303" t="s">
        <v>283</v>
      </c>
      <c r="K13" s="848"/>
      <c r="L13" s="297"/>
      <c r="M13" s="297"/>
    </row>
    <row r="14" spans="1:13">
      <c r="B14" s="311">
        <v>2023</v>
      </c>
      <c r="C14" s="590">
        <v>86.165050812472259</v>
      </c>
      <c r="D14" s="298"/>
      <c r="E14" s="298"/>
      <c r="F14" s="298"/>
      <c r="G14" s="298"/>
      <c r="H14" s="301" t="s">
        <v>285</v>
      </c>
      <c r="I14" s="484">
        <v>26.6</v>
      </c>
      <c r="J14" s="586">
        <v>5</v>
      </c>
      <c r="K14" s="587">
        <v>5</v>
      </c>
      <c r="L14" s="297"/>
      <c r="M14" s="297"/>
    </row>
    <row r="15" spans="1:13">
      <c r="B15" s="311">
        <v>2024</v>
      </c>
      <c r="C15" s="590">
        <v>100.85911043128995</v>
      </c>
      <c r="D15" s="298"/>
      <c r="E15" s="298"/>
      <c r="F15" s="298"/>
      <c r="G15" s="298"/>
      <c r="H15" s="304" t="s">
        <v>286</v>
      </c>
      <c r="I15" s="20"/>
      <c r="J15" s="20"/>
      <c r="K15" s="20"/>
      <c r="L15" s="297"/>
      <c r="M15" s="297"/>
    </row>
    <row r="16" spans="1:13">
      <c r="B16" s="311">
        <v>2025</v>
      </c>
      <c r="C16" s="590">
        <v>116.85079756018348</v>
      </c>
      <c r="D16" s="298"/>
      <c r="E16" s="298"/>
      <c r="F16" s="298"/>
      <c r="G16" s="298"/>
      <c r="H16" s="298"/>
      <c r="I16" s="298"/>
      <c r="J16" s="298"/>
      <c r="K16" s="298"/>
      <c r="L16" s="297"/>
      <c r="M16" s="297"/>
    </row>
    <row r="17" spans="2:13">
      <c r="B17" s="311">
        <v>2026</v>
      </c>
      <c r="C17" s="590">
        <v>134.04389653019243</v>
      </c>
      <c r="D17" s="298"/>
      <c r="E17" s="298"/>
      <c r="F17" s="298"/>
      <c r="G17" s="298"/>
      <c r="H17" s="298"/>
      <c r="I17" s="298"/>
      <c r="J17" s="298"/>
      <c r="K17" s="298"/>
      <c r="L17" s="297"/>
      <c r="M17" s="297"/>
    </row>
    <row r="18" spans="2:13">
      <c r="B18" s="311">
        <v>2027</v>
      </c>
      <c r="C18" s="590">
        <v>152.35200498691637</v>
      </c>
      <c r="D18" s="298"/>
      <c r="E18" s="298"/>
      <c r="F18" s="298"/>
      <c r="G18" s="298"/>
      <c r="H18" s="298"/>
      <c r="I18" s="298"/>
      <c r="J18" s="298"/>
      <c r="K18" s="298"/>
      <c r="L18" s="297"/>
      <c r="M18" s="297"/>
    </row>
    <row r="19" spans="2:13">
      <c r="B19" s="311">
        <v>2028</v>
      </c>
      <c r="C19" s="590">
        <v>171.66599713132572</v>
      </c>
      <c r="D19" s="298"/>
      <c r="E19" s="298"/>
      <c r="F19" s="298"/>
      <c r="G19" s="298"/>
      <c r="H19" s="298"/>
      <c r="I19" s="298"/>
      <c r="J19" s="298"/>
      <c r="K19" s="298"/>
      <c r="L19" s="297"/>
      <c r="M19" s="297"/>
    </row>
    <row r="20" spans="2:13">
      <c r="B20" s="315">
        <v>2029</v>
      </c>
      <c r="C20" s="590">
        <v>191.93473063162006</v>
      </c>
      <c r="D20" s="298"/>
      <c r="E20" s="298"/>
      <c r="F20" s="298"/>
      <c r="G20" s="298"/>
      <c r="H20" s="298"/>
      <c r="I20" s="298"/>
      <c r="J20" s="298"/>
      <c r="K20" s="298"/>
      <c r="L20" s="297"/>
      <c r="M20" s="297"/>
    </row>
    <row r="21" spans="2:13">
      <c r="B21" s="312">
        <v>2030</v>
      </c>
      <c r="C21" s="591">
        <v>213.1836215037298</v>
      </c>
      <c r="D21" s="298"/>
      <c r="E21" s="298"/>
      <c r="F21" s="298"/>
      <c r="G21" s="298"/>
      <c r="H21" s="298"/>
      <c r="I21" s="298"/>
      <c r="J21" s="298"/>
      <c r="K21" s="298"/>
      <c r="L21" s="297"/>
      <c r="M21" s="297"/>
    </row>
    <row r="22" spans="2:13">
      <c r="B22" s="312">
        <v>2031</v>
      </c>
      <c r="C22" s="592">
        <v>222.46001427832815</v>
      </c>
      <c r="D22" s="298"/>
      <c r="E22" s="298"/>
      <c r="F22" s="298"/>
      <c r="G22" s="298"/>
      <c r="H22" s="298"/>
      <c r="I22" s="298"/>
      <c r="J22" s="298"/>
      <c r="K22" s="298"/>
      <c r="L22" s="297"/>
      <c r="M22" s="297"/>
    </row>
    <row r="23" spans="2:13">
      <c r="B23" s="312">
        <v>2032</v>
      </c>
      <c r="C23" s="592">
        <v>231.27307362048566</v>
      </c>
      <c r="D23" s="298"/>
      <c r="E23" s="298"/>
      <c r="F23" s="298"/>
      <c r="G23" s="298"/>
      <c r="H23" s="298"/>
      <c r="I23" s="298"/>
      <c r="J23" s="298"/>
      <c r="K23" s="298"/>
      <c r="L23" s="297"/>
      <c r="M23" s="297"/>
    </row>
    <row r="24" spans="2:13">
      <c r="B24" s="312">
        <v>2033</v>
      </c>
      <c r="C24" s="592">
        <v>239.65722855378073</v>
      </c>
      <c r="D24" s="298"/>
      <c r="E24" s="298"/>
      <c r="F24" s="298"/>
      <c r="G24" s="298"/>
      <c r="H24" s="298"/>
      <c r="I24" s="298"/>
      <c r="J24" s="298"/>
      <c r="K24" s="298"/>
      <c r="L24" s="297"/>
      <c r="M24" s="297"/>
    </row>
    <row r="25" spans="2:13">
      <c r="B25" s="312">
        <v>2034</v>
      </c>
      <c r="C25" s="592">
        <v>247.64567863956367</v>
      </c>
      <c r="D25" s="298"/>
      <c r="E25" s="298"/>
      <c r="F25" s="298"/>
      <c r="G25" s="298"/>
      <c r="H25" s="298"/>
      <c r="I25" s="298"/>
      <c r="J25" s="298"/>
      <c r="K25" s="298"/>
      <c r="L25" s="297"/>
      <c r="M25" s="297"/>
    </row>
    <row r="26" spans="2:13">
      <c r="B26" s="312">
        <v>2035</v>
      </c>
      <c r="C26" s="592">
        <v>255.2622491819651</v>
      </c>
      <c r="D26" s="298"/>
      <c r="E26" s="298"/>
      <c r="F26" s="298"/>
      <c r="G26" s="298"/>
      <c r="H26" s="298"/>
      <c r="I26" s="298"/>
      <c r="J26" s="298"/>
      <c r="K26" s="298"/>
      <c r="L26" s="297"/>
      <c r="M26" s="297"/>
    </row>
    <row r="27" spans="2:13">
      <c r="B27" s="312">
        <v>2036</v>
      </c>
      <c r="C27" s="592">
        <v>262.50431954552585</v>
      </c>
      <c r="D27" s="298"/>
      <c r="E27" s="298"/>
      <c r="F27" s="298"/>
      <c r="G27" s="298"/>
      <c r="H27" s="298"/>
      <c r="I27" s="298"/>
      <c r="J27" s="298"/>
      <c r="K27" s="298"/>
      <c r="L27" s="297"/>
      <c r="M27" s="297"/>
    </row>
    <row r="28" spans="2:13">
      <c r="B28" s="312">
        <v>2037</v>
      </c>
      <c r="C28" s="592">
        <v>269.40174536820143</v>
      </c>
      <c r="D28" s="298"/>
      <c r="E28" s="298"/>
      <c r="F28" s="298"/>
      <c r="G28" s="298"/>
      <c r="H28" s="298"/>
      <c r="I28" s="298"/>
      <c r="J28" s="298"/>
      <c r="K28" s="298"/>
      <c r="L28" s="297"/>
      <c r="M28" s="297"/>
    </row>
    <row r="29" spans="2:13">
      <c r="B29" s="312">
        <v>2038</v>
      </c>
      <c r="C29" s="592">
        <v>275.95046963780351</v>
      </c>
      <c r="D29" s="298"/>
      <c r="E29" s="298"/>
      <c r="F29" s="298"/>
      <c r="G29" s="298"/>
      <c r="H29" s="298"/>
      <c r="I29" s="298"/>
      <c r="J29" s="298"/>
      <c r="K29" s="298"/>
      <c r="L29" s="297"/>
      <c r="M29" s="297"/>
    </row>
    <row r="30" spans="2:13">
      <c r="B30" s="312">
        <v>2039</v>
      </c>
      <c r="C30" s="592">
        <v>282.17347114242222</v>
      </c>
      <c r="D30" s="298"/>
      <c r="E30" s="298"/>
      <c r="F30" s="298"/>
      <c r="G30" s="298"/>
      <c r="H30" s="298"/>
      <c r="I30" s="298"/>
      <c r="J30" s="298"/>
      <c r="K30" s="298"/>
      <c r="L30" s="297"/>
      <c r="M30" s="297"/>
    </row>
    <row r="31" spans="2:13">
      <c r="B31" s="313">
        <v>2040</v>
      </c>
      <c r="C31" s="593">
        <v>288.08597500504038</v>
      </c>
      <c r="D31" s="298"/>
      <c r="E31" s="298"/>
      <c r="F31" s="298"/>
      <c r="G31" s="298"/>
      <c r="H31" s="298"/>
      <c r="I31" s="298"/>
      <c r="J31" s="298"/>
      <c r="K31" s="298"/>
      <c r="L31" s="297"/>
      <c r="M31" s="297"/>
    </row>
    <row r="32" spans="2:13">
      <c r="B32" s="304" t="s">
        <v>292</v>
      </c>
      <c r="C32" s="20"/>
      <c r="D32" s="298"/>
      <c r="E32" s="298"/>
      <c r="F32" s="298"/>
      <c r="G32" s="298"/>
      <c r="H32" s="298"/>
      <c r="I32" s="298"/>
      <c r="J32" s="298"/>
      <c r="K32" s="298"/>
      <c r="L32" s="297"/>
      <c r="M32" s="297"/>
    </row>
    <row r="33" spans="1:13">
      <c r="A33" s="21"/>
      <c r="B33" s="298"/>
      <c r="C33" s="298"/>
      <c r="D33" s="298"/>
      <c r="E33" s="298"/>
      <c r="F33" s="298"/>
      <c r="G33" s="298"/>
      <c r="H33" s="298"/>
      <c r="I33" s="298"/>
      <c r="J33" s="298"/>
      <c r="K33" s="298"/>
      <c r="L33" s="297"/>
      <c r="M33" s="297"/>
    </row>
    <row r="34" spans="1:13">
      <c r="B34" s="130" t="s">
        <v>269</v>
      </c>
      <c r="C34" s="71"/>
      <c r="D34" s="316"/>
      <c r="E34" s="316"/>
      <c r="F34" s="298"/>
      <c r="G34" s="298"/>
      <c r="H34" s="298"/>
      <c r="I34" s="298"/>
      <c r="J34" s="298"/>
      <c r="K34" s="298"/>
      <c r="L34" s="297"/>
      <c r="M34" s="297"/>
    </row>
    <row r="35" spans="1:13">
      <c r="B35" s="319"/>
      <c r="C35" s="297" t="s">
        <v>278</v>
      </c>
      <c r="D35" s="297"/>
      <c r="F35" s="297"/>
      <c r="G35" s="297"/>
      <c r="H35" s="317"/>
      <c r="I35" s="317"/>
      <c r="J35" s="298"/>
      <c r="K35" s="298"/>
      <c r="L35" s="297"/>
      <c r="M35" s="297"/>
    </row>
    <row r="36" spans="1:13">
      <c r="B36" s="320"/>
      <c r="C36" s="297" t="s">
        <v>268</v>
      </c>
      <c r="D36" s="297"/>
      <c r="F36" s="297"/>
      <c r="G36" s="297"/>
      <c r="H36" s="317"/>
      <c r="I36" s="317"/>
      <c r="J36" s="298"/>
      <c r="K36" s="298"/>
      <c r="L36" s="297"/>
      <c r="M36" s="297"/>
    </row>
    <row r="37" spans="1:13">
      <c r="B37" s="321"/>
      <c r="C37" s="297" t="s">
        <v>270</v>
      </c>
      <c r="D37" s="297"/>
      <c r="F37" s="297"/>
      <c r="G37" s="297"/>
      <c r="H37" s="317"/>
      <c r="I37" s="317"/>
      <c r="J37" s="298"/>
      <c r="K37" s="298"/>
      <c r="L37" s="297"/>
      <c r="M37" s="297"/>
    </row>
    <row r="38" spans="1:13">
      <c r="F38" s="296"/>
      <c r="G38" s="296"/>
      <c r="H38" s="297"/>
      <c r="I38" s="296"/>
      <c r="J38" s="296"/>
      <c r="K38" s="296"/>
      <c r="L38" s="297"/>
      <c r="M38" s="297"/>
    </row>
    <row r="39" spans="1:13">
      <c r="B39" s="130" t="s">
        <v>291</v>
      </c>
      <c r="F39" s="296"/>
      <c r="G39" s="296"/>
      <c r="H39" s="297"/>
      <c r="I39" s="296"/>
      <c r="J39" s="296"/>
      <c r="K39" s="296"/>
      <c r="L39" s="296"/>
      <c r="M39" s="296"/>
    </row>
    <row r="40" spans="1:13">
      <c r="B40" t="s">
        <v>303</v>
      </c>
      <c r="D40" s="133"/>
      <c r="E40" s="133"/>
      <c r="F40" s="296"/>
      <c r="H40" s="132" t="s">
        <v>274</v>
      </c>
      <c r="I40" s="296"/>
      <c r="J40" s="296"/>
      <c r="K40" s="296"/>
      <c r="L40" s="296"/>
      <c r="M40" s="296"/>
    </row>
    <row r="41" spans="1:13">
      <c r="B41" t="s">
        <v>295</v>
      </c>
      <c r="D41" s="133"/>
      <c r="E41" s="133"/>
      <c r="F41" s="296"/>
      <c r="H41" s="132" t="s">
        <v>294</v>
      </c>
      <c r="I41" s="296"/>
      <c r="J41" s="296"/>
      <c r="K41" s="296"/>
      <c r="L41" s="296"/>
      <c r="M41" s="296"/>
    </row>
    <row r="42" spans="1:13">
      <c r="B42" t="s">
        <v>296</v>
      </c>
      <c r="D42" s="133"/>
      <c r="E42" s="133"/>
      <c r="F42" s="296"/>
      <c r="H42" s="132" t="s">
        <v>293</v>
      </c>
      <c r="I42" s="296"/>
      <c r="J42" s="296"/>
      <c r="K42" s="296"/>
      <c r="L42" s="296"/>
      <c r="M42" s="296"/>
    </row>
    <row r="43" spans="1:13">
      <c r="F43" s="296"/>
      <c r="G43" s="296"/>
      <c r="H43" s="297"/>
      <c r="I43" s="296"/>
      <c r="J43" s="296"/>
      <c r="K43" s="296"/>
      <c r="L43" s="296"/>
      <c r="M43" s="296"/>
    </row>
    <row r="44" spans="1:13">
      <c r="F44" s="296"/>
      <c r="G44" s="296"/>
      <c r="H44" s="297"/>
      <c r="I44" s="296"/>
      <c r="J44" s="296"/>
      <c r="K44" s="296"/>
      <c r="L44" s="296"/>
      <c r="M44" s="296"/>
    </row>
    <row r="45" spans="1:13">
      <c r="H45" s="297"/>
      <c r="I45" s="296"/>
      <c r="J45" s="296"/>
      <c r="K45" s="296"/>
    </row>
    <row r="46" spans="1:13">
      <c r="H46" s="297"/>
      <c r="I46" s="296"/>
      <c r="J46" s="296"/>
      <c r="K46" s="296"/>
    </row>
    <row r="47" spans="1:13">
      <c r="H47" s="297"/>
    </row>
    <row r="48" spans="1:13">
      <c r="H48" s="297"/>
    </row>
  </sheetData>
  <mergeCells count="5">
    <mergeCell ref="I12:J12"/>
    <mergeCell ref="H12:H13"/>
    <mergeCell ref="K12:K13"/>
    <mergeCell ref="H7:J7"/>
    <mergeCell ref="H8:J8"/>
  </mergeCells>
  <phoneticPr fontId="13" type="noConversion"/>
  <hyperlinks>
    <hyperlink ref="H40" r:id="rId1"/>
    <hyperlink ref="H42" r:id="rId2"/>
    <hyperlink ref="A2" location="Indholdsfortegnelse!A1" display="Indholdsfortegnelse"/>
    <hyperlink ref="H41" r:id="rId3"/>
  </hyperlinks>
  <pageMargins left="0.75" right="0.75" top="1" bottom="1" header="0" footer="0"/>
  <pageSetup paperSize="9" orientation="portrait" verticalDpi="0" r:id="rId4"/>
  <headerFooter alignWithMargins="0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>
    <tabColor theme="3" tint="0.39997558519241921"/>
  </sheetPr>
  <dimension ref="A1:M99"/>
  <sheetViews>
    <sheetView workbookViewId="0"/>
  </sheetViews>
  <sheetFormatPr defaultRowHeight="12.75"/>
  <cols>
    <col min="2" max="2" width="7.140625" customWidth="1"/>
    <col min="3" max="11" width="6.7109375" customWidth="1"/>
    <col min="16" max="16" width="9.140625" customWidth="1"/>
  </cols>
  <sheetData>
    <row r="1" spans="1:13">
      <c r="A1" s="130" t="s">
        <v>52</v>
      </c>
      <c r="F1" s="24"/>
    </row>
    <row r="2" spans="1:13">
      <c r="A2" s="132" t="s">
        <v>56</v>
      </c>
    </row>
    <row r="3" spans="1:13">
      <c r="A3" s="318" t="s">
        <v>1</v>
      </c>
    </row>
    <row r="4" spans="1:13">
      <c r="A4" s="21"/>
    </row>
    <row r="5" spans="1:13" ht="13.5" thickBot="1"/>
    <row r="6" spans="1:13" ht="21" customHeight="1">
      <c r="B6" s="801" t="s">
        <v>0</v>
      </c>
      <c r="C6" s="802" t="s">
        <v>157</v>
      </c>
      <c r="D6" s="803" t="s">
        <v>158</v>
      </c>
      <c r="E6" s="803" t="s">
        <v>53</v>
      </c>
      <c r="F6" s="804" t="s">
        <v>422</v>
      </c>
      <c r="G6" s="804" t="s">
        <v>160</v>
      </c>
      <c r="H6" s="804" t="s">
        <v>159</v>
      </c>
      <c r="I6" s="805" t="s">
        <v>54</v>
      </c>
      <c r="J6" s="803" t="s">
        <v>55</v>
      </c>
      <c r="K6" s="806" t="s">
        <v>421</v>
      </c>
      <c r="L6" s="31"/>
      <c r="M6" s="31"/>
    </row>
    <row r="7" spans="1:13">
      <c r="B7" s="807">
        <v>2016</v>
      </c>
      <c r="C7" s="808">
        <v>150.21354666666667</v>
      </c>
      <c r="D7" s="808">
        <v>161.94432</v>
      </c>
      <c r="E7" s="790">
        <v>154.99055612707352</v>
      </c>
      <c r="F7" s="791">
        <v>129.08821333333336</v>
      </c>
      <c r="G7" s="791">
        <v>152.79829333333336</v>
      </c>
      <c r="H7" s="792">
        <v>158.14176</v>
      </c>
      <c r="I7" s="792">
        <v>171.68682666666669</v>
      </c>
      <c r="J7" s="791">
        <v>195.29749333333334</v>
      </c>
      <c r="K7" s="809">
        <v>324.997365</v>
      </c>
    </row>
    <row r="8" spans="1:13">
      <c r="B8" s="810">
        <v>2017</v>
      </c>
      <c r="C8" s="808">
        <v>142.16195886569983</v>
      </c>
      <c r="D8" s="808">
        <v>156.26066553006675</v>
      </c>
      <c r="E8" s="793">
        <v>147.90712099621115</v>
      </c>
      <c r="F8" s="792">
        <v>125.05259088237955</v>
      </c>
      <c r="G8" s="792">
        <v>142.67597421283818</v>
      </c>
      <c r="H8" s="792">
        <v>149.65189678114476</v>
      </c>
      <c r="I8" s="792">
        <v>158.24329615474335</v>
      </c>
      <c r="J8" s="792">
        <v>186.00012490021572</v>
      </c>
      <c r="K8" s="809">
        <v>305.85064449837694</v>
      </c>
      <c r="M8" s="56"/>
    </row>
    <row r="9" spans="1:13">
      <c r="B9" s="810">
        <v>2018</v>
      </c>
      <c r="C9" s="808">
        <v>138.15441433224586</v>
      </c>
      <c r="D9" s="808">
        <v>152.65165677126595</v>
      </c>
      <c r="E9" s="793">
        <v>144.0633869818364</v>
      </c>
      <c r="F9" s="792">
        <v>119.99697702000785</v>
      </c>
      <c r="G9" s="792">
        <v>140.0921645592436</v>
      </c>
      <c r="H9" s="792">
        <v>144.75711880942333</v>
      </c>
      <c r="I9" s="792">
        <v>147.05371167105028</v>
      </c>
      <c r="J9" s="792">
        <v>172.96214989127927</v>
      </c>
      <c r="K9" s="809">
        <v>289.8004571033938</v>
      </c>
      <c r="L9" s="31"/>
      <c r="M9" s="31"/>
    </row>
    <row r="10" spans="1:13">
      <c r="B10" s="810">
        <v>2019</v>
      </c>
      <c r="C10" s="811">
        <f>(C$11-C$9)/($B$11-$B$9)+C9</f>
        <v>172.99960716612293</v>
      </c>
      <c r="D10" s="811">
        <f>(D$11-D$9)/($B$11-$B$9)+D9</f>
        <v>180.97357838563298</v>
      </c>
      <c r="E10" s="796">
        <v>176.25087088106915</v>
      </c>
      <c r="F10" s="797">
        <f>(F$11-F$9)/($B$11-$B$9)+F9</f>
        <v>162.21679773487847</v>
      </c>
      <c r="G10" s="797">
        <f t="shared" ref="G10:K10" si="0">(G$11-G$9)/($B$11-$B$9)+G9</f>
        <v>171.38588640115131</v>
      </c>
      <c r="H10" s="797">
        <f t="shared" si="0"/>
        <v>173.81034962255416</v>
      </c>
      <c r="I10" s="797">
        <f t="shared" si="0"/>
        <v>177.93007331766998</v>
      </c>
      <c r="J10" s="797">
        <f t="shared" si="0"/>
        <v>204.3730243601714</v>
      </c>
      <c r="K10" s="812">
        <f t="shared" si="0"/>
        <v>318.01631269358995</v>
      </c>
    </row>
    <row r="11" spans="1:13">
      <c r="B11" s="810">
        <v>2020</v>
      </c>
      <c r="C11" s="813">
        <v>207.84479999999999</v>
      </c>
      <c r="D11" s="813">
        <v>209.2955</v>
      </c>
      <c r="E11" s="794">
        <v>208.43627103699953</v>
      </c>
      <c r="F11" s="795">
        <v>204.43661844974906</v>
      </c>
      <c r="G11" s="795">
        <v>202.67960824305902</v>
      </c>
      <c r="H11" s="795">
        <v>202.86358043568495</v>
      </c>
      <c r="I11" s="795">
        <v>208.80643496428968</v>
      </c>
      <c r="J11" s="795">
        <v>235.78389882906353</v>
      </c>
      <c r="K11" s="814">
        <v>346.23216828378611</v>
      </c>
    </row>
    <row r="12" spans="1:13">
      <c r="B12" s="810">
        <v>2021</v>
      </c>
      <c r="C12" s="813">
        <v>228.49520000000001</v>
      </c>
      <c r="D12" s="813">
        <v>230.69659999999999</v>
      </c>
      <c r="E12" s="794">
        <v>229.39259041701769</v>
      </c>
      <c r="F12" s="797">
        <f>(F$21-F$11)/($B$21-$B$11)+F11</f>
        <v>225.56266822410251</v>
      </c>
      <c r="G12" s="797">
        <f t="shared" ref="G12:K20" si="1">(G$21-G$11)/($B$21-$B$11)+G11</f>
        <v>222.68471582838433</v>
      </c>
      <c r="H12" s="797">
        <f t="shared" si="1"/>
        <v>222.85662705749417</v>
      </c>
      <c r="I12" s="797">
        <f t="shared" si="1"/>
        <v>229.96722020405474</v>
      </c>
      <c r="J12" s="797">
        <f t="shared" si="1"/>
        <v>255.16729915893535</v>
      </c>
      <c r="K12" s="812">
        <f t="shared" si="1"/>
        <v>366.35216698540677</v>
      </c>
    </row>
    <row r="13" spans="1:13">
      <c r="B13" s="810">
        <v>2022</v>
      </c>
      <c r="C13" s="813">
        <v>249.3725</v>
      </c>
      <c r="D13" s="813">
        <v>251.33680000000001</v>
      </c>
      <c r="E13" s="794">
        <v>250.17312387423669</v>
      </c>
      <c r="F13" s="797">
        <f t="shared" ref="F13:F20" si="2">(F$21-F$11)/($B$21-$B$11)+F12</f>
        <v>246.68871799845596</v>
      </c>
      <c r="G13" s="797">
        <f t="shared" si="1"/>
        <v>242.68982341370963</v>
      </c>
      <c r="H13" s="797">
        <f t="shared" si="1"/>
        <v>242.84967367930338</v>
      </c>
      <c r="I13" s="797">
        <f t="shared" si="1"/>
        <v>251.1280054438198</v>
      </c>
      <c r="J13" s="797">
        <f t="shared" si="1"/>
        <v>274.55069948880714</v>
      </c>
      <c r="K13" s="812">
        <f t="shared" si="1"/>
        <v>386.47216568702743</v>
      </c>
    </row>
    <row r="14" spans="1:13">
      <c r="B14" s="810">
        <v>2023</v>
      </c>
      <c r="C14" s="813">
        <v>274.79559999999998</v>
      </c>
      <c r="D14" s="813">
        <v>273.64980000000003</v>
      </c>
      <c r="E14" s="794">
        <v>274.32885812229773</v>
      </c>
      <c r="F14" s="797">
        <f t="shared" si="2"/>
        <v>267.81476777280943</v>
      </c>
      <c r="G14" s="797">
        <f t="shared" si="1"/>
        <v>262.69493099903491</v>
      </c>
      <c r="H14" s="797">
        <f t="shared" si="1"/>
        <v>262.84272030111259</v>
      </c>
      <c r="I14" s="797">
        <f t="shared" si="1"/>
        <v>272.28879068358486</v>
      </c>
      <c r="J14" s="797">
        <f t="shared" si="1"/>
        <v>293.93409981867893</v>
      </c>
      <c r="K14" s="812">
        <f t="shared" si="1"/>
        <v>406.59216438864809</v>
      </c>
    </row>
    <row r="15" spans="1:13">
      <c r="B15" s="810">
        <v>2024</v>
      </c>
      <c r="C15" s="813">
        <v>295.6078</v>
      </c>
      <c r="D15" s="813">
        <v>295.16289999999998</v>
      </c>
      <c r="E15" s="794">
        <v>295.42655449416787</v>
      </c>
      <c r="F15" s="797">
        <f t="shared" si="2"/>
        <v>288.94081754716291</v>
      </c>
      <c r="G15" s="797">
        <f t="shared" si="1"/>
        <v>282.70003858436019</v>
      </c>
      <c r="H15" s="797">
        <f t="shared" si="1"/>
        <v>282.83576692292183</v>
      </c>
      <c r="I15" s="797">
        <f t="shared" si="1"/>
        <v>293.44957592334993</v>
      </c>
      <c r="J15" s="797">
        <f t="shared" si="1"/>
        <v>313.31750014855072</v>
      </c>
      <c r="K15" s="812">
        <f t="shared" si="1"/>
        <v>426.71216309026875</v>
      </c>
    </row>
    <row r="16" spans="1:13">
      <c r="B16" s="810">
        <v>2025</v>
      </c>
      <c r="C16" s="813">
        <v>316.7987</v>
      </c>
      <c r="D16" s="813">
        <v>314.92779999999999</v>
      </c>
      <c r="E16" s="794">
        <v>316.03640337891994</v>
      </c>
      <c r="F16" s="797">
        <f t="shared" si="2"/>
        <v>310.06686732151638</v>
      </c>
      <c r="G16" s="797">
        <f t="shared" si="1"/>
        <v>302.70514616968546</v>
      </c>
      <c r="H16" s="797">
        <f t="shared" si="1"/>
        <v>302.82881354473108</v>
      </c>
      <c r="I16" s="797">
        <f t="shared" si="1"/>
        <v>314.61036116311499</v>
      </c>
      <c r="J16" s="797">
        <f t="shared" si="1"/>
        <v>332.70090047842251</v>
      </c>
      <c r="K16" s="812">
        <f t="shared" si="1"/>
        <v>446.8321617918894</v>
      </c>
    </row>
    <row r="17" spans="2:11">
      <c r="B17" s="810">
        <v>2026</v>
      </c>
      <c r="C17" s="813">
        <v>339.47250000000003</v>
      </c>
      <c r="D17" s="813">
        <v>339.00110000000001</v>
      </c>
      <c r="E17" s="794">
        <v>339.28042846909131</v>
      </c>
      <c r="F17" s="797">
        <f t="shared" si="2"/>
        <v>331.19291709586986</v>
      </c>
      <c r="G17" s="797">
        <f t="shared" si="1"/>
        <v>322.71025375501074</v>
      </c>
      <c r="H17" s="797">
        <f t="shared" si="1"/>
        <v>322.82186016654032</v>
      </c>
      <c r="I17" s="797">
        <f t="shared" si="1"/>
        <v>335.77114640288005</v>
      </c>
      <c r="J17" s="797">
        <f t="shared" si="1"/>
        <v>352.0843008082943</v>
      </c>
      <c r="K17" s="812">
        <f t="shared" si="1"/>
        <v>466.95216049351006</v>
      </c>
    </row>
    <row r="18" spans="2:11">
      <c r="B18" s="810">
        <v>2027</v>
      </c>
      <c r="C18" s="813">
        <v>359.25349999999997</v>
      </c>
      <c r="D18" s="813">
        <v>357.46170000000001</v>
      </c>
      <c r="E18" s="794">
        <v>358.52343260695318</v>
      </c>
      <c r="F18" s="797">
        <f t="shared" si="2"/>
        <v>352.31896687022333</v>
      </c>
      <c r="G18" s="797">
        <f t="shared" si="1"/>
        <v>342.71536134033602</v>
      </c>
      <c r="H18" s="797">
        <f t="shared" si="1"/>
        <v>342.81490678834956</v>
      </c>
      <c r="I18" s="797">
        <f t="shared" si="1"/>
        <v>356.93193164264511</v>
      </c>
      <c r="J18" s="797">
        <f t="shared" si="1"/>
        <v>371.46770113816609</v>
      </c>
      <c r="K18" s="812">
        <f t="shared" si="1"/>
        <v>487.07215919513072</v>
      </c>
    </row>
    <row r="19" spans="2:11">
      <c r="B19" s="810">
        <v>2028</v>
      </c>
      <c r="C19" s="813">
        <v>379.63189999999997</v>
      </c>
      <c r="D19" s="813">
        <v>379.2088</v>
      </c>
      <c r="E19" s="794">
        <v>379.45950826320006</v>
      </c>
      <c r="F19" s="797">
        <f t="shared" si="2"/>
        <v>373.44501664457681</v>
      </c>
      <c r="G19" s="797">
        <f t="shared" si="1"/>
        <v>362.72046892566129</v>
      </c>
      <c r="H19" s="797">
        <f t="shared" si="1"/>
        <v>362.8079534101588</v>
      </c>
      <c r="I19" s="797">
        <f t="shared" si="1"/>
        <v>378.09271688241017</v>
      </c>
      <c r="J19" s="797">
        <f t="shared" si="1"/>
        <v>390.85110146803788</v>
      </c>
      <c r="K19" s="812">
        <f t="shared" si="1"/>
        <v>507.19215789675138</v>
      </c>
    </row>
    <row r="20" spans="2:11">
      <c r="B20" s="810">
        <v>2029</v>
      </c>
      <c r="C20" s="813">
        <v>399.50099999999998</v>
      </c>
      <c r="D20" s="813">
        <v>402.18389999999999</v>
      </c>
      <c r="E20" s="794">
        <v>400.59414533363389</v>
      </c>
      <c r="F20" s="797">
        <f t="shared" si="2"/>
        <v>394.57106641893029</v>
      </c>
      <c r="G20" s="797">
        <f t="shared" si="1"/>
        <v>382.72557651098657</v>
      </c>
      <c r="H20" s="797">
        <f t="shared" si="1"/>
        <v>382.80100003196804</v>
      </c>
      <c r="I20" s="797">
        <f t="shared" si="1"/>
        <v>399.25350212217523</v>
      </c>
      <c r="J20" s="797">
        <f t="shared" si="1"/>
        <v>410.23450179790967</v>
      </c>
      <c r="K20" s="812">
        <f t="shared" si="1"/>
        <v>527.31215659837198</v>
      </c>
    </row>
    <row r="21" spans="2:11">
      <c r="B21" s="810">
        <v>2030</v>
      </c>
      <c r="C21" s="813">
        <v>420.45870000000002</v>
      </c>
      <c r="D21" s="813">
        <v>423.8254</v>
      </c>
      <c r="E21" s="794">
        <v>421.83045906472296</v>
      </c>
      <c r="F21" s="795">
        <v>415.69711619328359</v>
      </c>
      <c r="G21" s="795">
        <v>402.73068409631196</v>
      </c>
      <c r="H21" s="795">
        <v>402.79404665377712</v>
      </c>
      <c r="I21" s="795">
        <v>420.41428736194041</v>
      </c>
      <c r="J21" s="795">
        <v>429.61790212778163</v>
      </c>
      <c r="K21" s="814">
        <v>547.43215529999247</v>
      </c>
    </row>
    <row r="22" spans="2:11">
      <c r="B22" s="810">
        <v>2031</v>
      </c>
      <c r="C22" s="813">
        <v>428.17849999999999</v>
      </c>
      <c r="D22" s="813">
        <v>429.1472</v>
      </c>
      <c r="E22" s="794">
        <v>428.57319599489028</v>
      </c>
      <c r="F22" s="797">
        <f>0.5*(F$21-F$11)/($B$21-$B$11)+F21</f>
        <v>426.2601410804603</v>
      </c>
      <c r="G22" s="797">
        <f t="shared" ref="G22:K31" si="3">0.5*(G$21-G$11)/($B$21-$B$11)+G21</f>
        <v>412.7332378889746</v>
      </c>
      <c r="H22" s="797">
        <f t="shared" si="3"/>
        <v>412.79056996468171</v>
      </c>
      <c r="I22" s="797">
        <f t="shared" si="3"/>
        <v>430.99467998182297</v>
      </c>
      <c r="J22" s="797">
        <f t="shared" si="3"/>
        <v>439.30960229271756</v>
      </c>
      <c r="K22" s="812">
        <f t="shared" si="3"/>
        <v>557.49215465080283</v>
      </c>
    </row>
    <row r="23" spans="2:11">
      <c r="B23" s="810">
        <v>2032</v>
      </c>
      <c r="C23" s="813">
        <v>439.65460000000002</v>
      </c>
      <c r="D23" s="813">
        <v>441.8186</v>
      </c>
      <c r="E23" s="794">
        <v>440.53631996793911</v>
      </c>
      <c r="F23" s="797">
        <f t="shared" ref="F23:F31" si="4">0.5*(F$21-F$11)/($B$21-$B$11)+F22</f>
        <v>436.82316596763701</v>
      </c>
      <c r="G23" s="797">
        <f t="shared" si="3"/>
        <v>422.73579168163724</v>
      </c>
      <c r="H23" s="797">
        <f t="shared" si="3"/>
        <v>422.7870932755863</v>
      </c>
      <c r="I23" s="797">
        <f t="shared" si="3"/>
        <v>441.57507260170553</v>
      </c>
      <c r="J23" s="797">
        <f t="shared" si="3"/>
        <v>449.00130245765348</v>
      </c>
      <c r="K23" s="812">
        <f t="shared" si="3"/>
        <v>567.55215400161319</v>
      </c>
    </row>
    <row r="24" spans="2:11">
      <c r="B24" s="810">
        <v>2033</v>
      </c>
      <c r="C24" s="813">
        <v>449.08760000000001</v>
      </c>
      <c r="D24" s="813">
        <v>451.30200000000002</v>
      </c>
      <c r="E24" s="794">
        <v>449.98985540526996</v>
      </c>
      <c r="F24" s="797">
        <f t="shared" si="4"/>
        <v>447.38619085481372</v>
      </c>
      <c r="G24" s="797">
        <f t="shared" si="3"/>
        <v>432.73834547429988</v>
      </c>
      <c r="H24" s="797">
        <f t="shared" si="3"/>
        <v>432.78361658649089</v>
      </c>
      <c r="I24" s="797">
        <f t="shared" si="3"/>
        <v>452.15546522158809</v>
      </c>
      <c r="J24" s="797">
        <f t="shared" si="3"/>
        <v>458.6930026225894</v>
      </c>
      <c r="K24" s="812">
        <f t="shared" si="3"/>
        <v>577.61215335242355</v>
      </c>
    </row>
    <row r="25" spans="2:11">
      <c r="B25" s="810">
        <v>2034</v>
      </c>
      <c r="C25" s="813">
        <v>459.17349999999999</v>
      </c>
      <c r="D25" s="813">
        <v>461.54020000000003</v>
      </c>
      <c r="E25" s="794">
        <v>460.13780991133149</v>
      </c>
      <c r="F25" s="797">
        <f t="shared" si="4"/>
        <v>457.94921574199043</v>
      </c>
      <c r="G25" s="797">
        <f t="shared" si="3"/>
        <v>442.74089926696251</v>
      </c>
      <c r="H25" s="797">
        <f t="shared" si="3"/>
        <v>442.78013989739549</v>
      </c>
      <c r="I25" s="797">
        <f t="shared" si="3"/>
        <v>462.73585784147065</v>
      </c>
      <c r="J25" s="797">
        <f t="shared" si="3"/>
        <v>468.38470278752533</v>
      </c>
      <c r="K25" s="812">
        <f t="shared" si="3"/>
        <v>587.67215270323391</v>
      </c>
    </row>
    <row r="26" spans="2:11">
      <c r="B26" s="810">
        <v>2035</v>
      </c>
      <c r="C26" s="813">
        <v>468.05250000000001</v>
      </c>
      <c r="D26" s="813">
        <v>471.3254</v>
      </c>
      <c r="E26" s="794">
        <v>469.38604033413492</v>
      </c>
      <c r="F26" s="797">
        <f t="shared" si="4"/>
        <v>468.51224062916714</v>
      </c>
      <c r="G26" s="797">
        <f t="shared" si="3"/>
        <v>452.74345305962515</v>
      </c>
      <c r="H26" s="797">
        <f t="shared" si="3"/>
        <v>452.77666320830008</v>
      </c>
      <c r="I26" s="797">
        <f t="shared" si="3"/>
        <v>473.31625046135321</v>
      </c>
      <c r="J26" s="797">
        <f t="shared" si="3"/>
        <v>478.07640295246125</v>
      </c>
      <c r="K26" s="812">
        <f t="shared" si="3"/>
        <v>597.73215205404426</v>
      </c>
    </row>
    <row r="27" spans="2:11">
      <c r="B27" s="810">
        <v>2036</v>
      </c>
      <c r="C27" s="813">
        <v>478.5401</v>
      </c>
      <c r="D27" s="813">
        <v>481.18579999999997</v>
      </c>
      <c r="E27" s="794">
        <v>479.61808822512774</v>
      </c>
      <c r="F27" s="797">
        <f t="shared" si="4"/>
        <v>479.07526551634385</v>
      </c>
      <c r="G27" s="797">
        <f t="shared" si="3"/>
        <v>462.74600685228779</v>
      </c>
      <c r="H27" s="797">
        <f t="shared" si="3"/>
        <v>462.77318651920467</v>
      </c>
      <c r="I27" s="797">
        <f t="shared" si="3"/>
        <v>483.89664308123577</v>
      </c>
      <c r="J27" s="797">
        <f t="shared" si="3"/>
        <v>487.76810311739717</v>
      </c>
      <c r="K27" s="812">
        <f t="shared" si="3"/>
        <v>607.79215140485462</v>
      </c>
    </row>
    <row r="28" spans="2:11">
      <c r="B28" s="810">
        <v>2037</v>
      </c>
      <c r="C28" s="813">
        <v>491.40140000000002</v>
      </c>
      <c r="D28" s="813">
        <v>488.32870000000003</v>
      </c>
      <c r="E28" s="794">
        <v>490.14943098637411</v>
      </c>
      <c r="F28" s="797">
        <f t="shared" si="4"/>
        <v>489.63829040352056</v>
      </c>
      <c r="G28" s="797">
        <f t="shared" si="3"/>
        <v>472.74856064495043</v>
      </c>
      <c r="H28" s="797">
        <f t="shared" si="3"/>
        <v>472.76970983010926</v>
      </c>
      <c r="I28" s="797">
        <f t="shared" si="3"/>
        <v>494.47703570111833</v>
      </c>
      <c r="J28" s="797">
        <f t="shared" si="3"/>
        <v>497.4598032823331</v>
      </c>
      <c r="K28" s="812">
        <f t="shared" si="3"/>
        <v>617.85215075566498</v>
      </c>
    </row>
    <row r="29" spans="2:11">
      <c r="B29" s="810">
        <v>2038</v>
      </c>
      <c r="C29" s="813">
        <v>500.4846</v>
      </c>
      <c r="D29" s="813">
        <v>496.83030000000002</v>
      </c>
      <c r="E29" s="794">
        <v>498.99565855876165</v>
      </c>
      <c r="F29" s="797">
        <f t="shared" si="4"/>
        <v>500.20131529069727</v>
      </c>
      <c r="G29" s="797">
        <f t="shared" si="3"/>
        <v>482.75111443761307</v>
      </c>
      <c r="H29" s="797">
        <f t="shared" si="3"/>
        <v>482.76623314101386</v>
      </c>
      <c r="I29" s="797">
        <f t="shared" si="3"/>
        <v>505.05742832100088</v>
      </c>
      <c r="J29" s="797">
        <f t="shared" si="3"/>
        <v>507.15150344726902</v>
      </c>
      <c r="K29" s="812">
        <f t="shared" si="3"/>
        <v>627.91215010647534</v>
      </c>
    </row>
    <row r="30" spans="2:11">
      <c r="B30" s="810">
        <v>2039</v>
      </c>
      <c r="C30" s="813">
        <v>512.16520000000003</v>
      </c>
      <c r="D30" s="813">
        <v>508.55880000000002</v>
      </c>
      <c r="E30" s="794">
        <v>510.69577537320913</v>
      </c>
      <c r="F30" s="797">
        <f t="shared" si="4"/>
        <v>510.76434017787398</v>
      </c>
      <c r="G30" s="797">
        <f t="shared" si="3"/>
        <v>492.75366823027571</v>
      </c>
      <c r="H30" s="797">
        <f t="shared" si="3"/>
        <v>492.76275645191845</v>
      </c>
      <c r="I30" s="797">
        <f t="shared" si="3"/>
        <v>515.63782094088344</v>
      </c>
      <c r="J30" s="797">
        <f t="shared" si="3"/>
        <v>516.84320361220489</v>
      </c>
      <c r="K30" s="812">
        <f t="shared" si="3"/>
        <v>637.9721494572857</v>
      </c>
    </row>
    <row r="31" spans="2:11" ht="13.5" thickBot="1">
      <c r="B31" s="815">
        <v>2040</v>
      </c>
      <c r="C31" s="816">
        <v>523.5933</v>
      </c>
      <c r="D31" s="816">
        <v>520.28390000000002</v>
      </c>
      <c r="E31" s="817">
        <v>522.24488777176634</v>
      </c>
      <c r="F31" s="818">
        <f t="shared" si="4"/>
        <v>521.32736506505069</v>
      </c>
      <c r="G31" s="818">
        <f t="shared" si="3"/>
        <v>502.75622202293835</v>
      </c>
      <c r="H31" s="818">
        <f t="shared" si="3"/>
        <v>502.75927976282304</v>
      </c>
      <c r="I31" s="818">
        <f t="shared" si="3"/>
        <v>526.218213560766</v>
      </c>
      <c r="J31" s="818">
        <f t="shared" si="3"/>
        <v>526.53490377714081</v>
      </c>
      <c r="K31" s="819">
        <f t="shared" si="3"/>
        <v>648.03214880809605</v>
      </c>
    </row>
    <row r="32" spans="2:11">
      <c r="B32" s="304" t="s">
        <v>442</v>
      </c>
    </row>
    <row r="33" spans="1:8">
      <c r="A33" s="21"/>
    </row>
    <row r="34" spans="1:8">
      <c r="B34" s="130" t="s">
        <v>269</v>
      </c>
    </row>
    <row r="35" spans="1:8">
      <c r="B35" s="798"/>
      <c r="C35" t="s">
        <v>463</v>
      </c>
    </row>
    <row r="36" spans="1:8">
      <c r="B36" s="799"/>
      <c r="C36" t="s">
        <v>423</v>
      </c>
    </row>
    <row r="37" spans="1:8">
      <c r="B37" s="800"/>
      <c r="C37" t="s">
        <v>424</v>
      </c>
      <c r="F37" s="45"/>
      <c r="G37" s="45"/>
      <c r="H37" s="45"/>
    </row>
    <row r="38" spans="1:8">
      <c r="B38" s="85"/>
      <c r="F38" s="45"/>
      <c r="G38" s="45"/>
      <c r="H38" s="45"/>
    </row>
    <row r="39" spans="1:8">
      <c r="B39" s="130" t="s">
        <v>464</v>
      </c>
      <c r="F39" s="45"/>
      <c r="G39" s="45"/>
      <c r="H39" s="45"/>
    </row>
    <row r="40" spans="1:8">
      <c r="B40" t="s">
        <v>436</v>
      </c>
      <c r="E40" t="s">
        <v>425</v>
      </c>
    </row>
    <row r="41" spans="1:8">
      <c r="B41" s="439" t="s">
        <v>426</v>
      </c>
      <c r="C41" s="4"/>
      <c r="E41" s="4" t="s">
        <v>427</v>
      </c>
      <c r="F41" s="63"/>
      <c r="G41" s="45"/>
      <c r="H41" s="45"/>
    </row>
    <row r="42" spans="1:8">
      <c r="B42" s="820" t="s">
        <v>428</v>
      </c>
      <c r="C42" s="4"/>
      <c r="E42" s="4" t="s">
        <v>429</v>
      </c>
      <c r="F42" s="63"/>
      <c r="G42" s="45"/>
      <c r="H42" s="45"/>
    </row>
    <row r="43" spans="1:8">
      <c r="B43" s="820" t="s">
        <v>430</v>
      </c>
      <c r="C43" s="4"/>
      <c r="E43" s="17" t="s">
        <v>431</v>
      </c>
      <c r="F43" s="63"/>
      <c r="G43" s="45"/>
      <c r="H43" s="45"/>
    </row>
    <row r="44" spans="1:8">
      <c r="B44" s="820" t="s">
        <v>432</v>
      </c>
      <c r="C44" s="4"/>
      <c r="E44" s="17" t="s">
        <v>433</v>
      </c>
      <c r="F44" s="44"/>
      <c r="G44" s="45"/>
      <c r="H44" s="44"/>
    </row>
    <row r="45" spans="1:8">
      <c r="B45" s="820" t="s">
        <v>434</v>
      </c>
      <c r="E45" s="17" t="s">
        <v>435</v>
      </c>
      <c r="F45" s="45"/>
      <c r="G45" s="45"/>
      <c r="H45" s="45"/>
    </row>
    <row r="46" spans="1:8">
      <c r="B46" s="820" t="s">
        <v>54</v>
      </c>
      <c r="E46" s="17" t="s">
        <v>437</v>
      </c>
      <c r="F46" s="63"/>
      <c r="G46" s="45"/>
      <c r="H46" s="45"/>
    </row>
    <row r="47" spans="1:8">
      <c r="B47" s="820" t="s">
        <v>55</v>
      </c>
      <c r="E47" s="17" t="s">
        <v>438</v>
      </c>
      <c r="F47" s="45"/>
      <c r="G47" s="45"/>
      <c r="H47" s="45"/>
    </row>
    <row r="48" spans="1:8">
      <c r="B48" s="820" t="s">
        <v>421</v>
      </c>
      <c r="E48" s="17" t="s">
        <v>439</v>
      </c>
      <c r="F48" s="45"/>
      <c r="G48" s="45"/>
      <c r="H48" s="45"/>
    </row>
    <row r="49" spans="2:8">
      <c r="B49" s="85"/>
      <c r="F49" s="45"/>
      <c r="G49" s="45"/>
      <c r="H49" s="45"/>
    </row>
    <row r="50" spans="2:8">
      <c r="B50" s="298" t="s">
        <v>440</v>
      </c>
      <c r="F50" s="45"/>
      <c r="G50" s="45"/>
      <c r="H50" s="45"/>
    </row>
    <row r="51" spans="2:8">
      <c r="B51" s="132" t="s">
        <v>441</v>
      </c>
      <c r="F51" s="45"/>
      <c r="G51" s="45"/>
      <c r="H51" s="45"/>
    </row>
    <row r="52" spans="2:8">
      <c r="F52" s="45"/>
      <c r="G52" s="45"/>
      <c r="H52" s="45"/>
    </row>
    <row r="53" spans="2:8">
      <c r="B53" s="85"/>
      <c r="F53" s="45"/>
      <c r="G53" s="45"/>
      <c r="H53" s="45"/>
    </row>
    <row r="54" spans="2:8">
      <c r="B54" s="85"/>
      <c r="F54" s="45"/>
      <c r="G54" s="45"/>
      <c r="H54" s="45"/>
    </row>
    <row r="55" spans="2:8">
      <c r="B55" s="85"/>
      <c r="F55" s="45"/>
      <c r="G55" s="45"/>
      <c r="H55" s="45"/>
    </row>
    <row r="57" spans="2:8">
      <c r="B57" s="85"/>
      <c r="F57" s="45"/>
      <c r="G57" s="45"/>
      <c r="H57" s="45"/>
    </row>
    <row r="58" spans="2:8">
      <c r="B58" s="85"/>
      <c r="G58" s="45"/>
      <c r="H58" s="45"/>
    </row>
    <row r="59" spans="2:8">
      <c r="B59" s="85"/>
      <c r="G59" s="45"/>
      <c r="H59" s="45"/>
    </row>
    <row r="61" spans="2:8">
      <c r="B61" s="21"/>
    </row>
    <row r="62" spans="2:8" ht="15">
      <c r="B62" s="59"/>
      <c r="C62" s="60"/>
      <c r="D62" s="60"/>
      <c r="E62" s="60"/>
      <c r="F62" s="60"/>
      <c r="G62" s="60"/>
      <c r="H62" s="60"/>
    </row>
    <row r="63" spans="2:8">
      <c r="B63" s="122"/>
      <c r="C63" s="62"/>
      <c r="D63" s="31"/>
      <c r="F63" s="31"/>
      <c r="G63" s="31"/>
      <c r="H63" s="31"/>
    </row>
    <row r="64" spans="2:8">
      <c r="B64" s="122"/>
      <c r="C64" s="62"/>
      <c r="D64" s="31"/>
      <c r="H64" s="31"/>
    </row>
    <row r="65" spans="2:8">
      <c r="B65" s="122"/>
      <c r="C65" s="62"/>
      <c r="D65" s="31"/>
      <c r="E65" s="54"/>
      <c r="G65" s="31"/>
      <c r="H65" s="31"/>
    </row>
    <row r="66" spans="2:8">
      <c r="B66" s="122"/>
      <c r="C66" s="62"/>
      <c r="D66" s="31"/>
      <c r="G66" s="31"/>
      <c r="H66" s="31"/>
    </row>
    <row r="67" spans="2:8">
      <c r="B67" s="122"/>
      <c r="C67" s="62"/>
      <c r="D67" s="31"/>
      <c r="E67" s="54"/>
    </row>
    <row r="70" spans="2:8">
      <c r="B70" s="61"/>
    </row>
    <row r="71" spans="2:8" ht="15">
      <c r="B71" s="59"/>
      <c r="C71" s="60"/>
      <c r="D71" s="60"/>
      <c r="E71" s="60"/>
    </row>
    <row r="72" spans="2:8">
      <c r="B72" s="122"/>
      <c r="C72" s="62"/>
      <c r="D72" s="31"/>
      <c r="E72" s="31"/>
    </row>
    <row r="73" spans="2:8">
      <c r="B73" s="122"/>
      <c r="C73" s="62"/>
      <c r="D73" s="31"/>
      <c r="E73" s="31"/>
    </row>
    <row r="74" spans="2:8">
      <c r="B74" s="61"/>
    </row>
    <row r="75" spans="2:8" ht="15">
      <c r="B75" s="59"/>
      <c r="C75" s="60"/>
      <c r="E75" s="58"/>
    </row>
    <row r="76" spans="2:8" s="82" customFormat="1" ht="15">
      <c r="B76" s="122"/>
      <c r="C76" s="124"/>
      <c r="D76" s="31"/>
      <c r="E76" s="58"/>
    </row>
    <row r="77" spans="2:8">
      <c r="B77" s="122"/>
      <c r="C77" s="62"/>
      <c r="D77" s="31"/>
    </row>
    <row r="78" spans="2:8">
      <c r="B78" s="122"/>
      <c r="C78" s="62"/>
      <c r="D78" s="31"/>
      <c r="E78" s="31"/>
    </row>
    <row r="79" spans="2:8">
      <c r="B79" s="61"/>
    </row>
    <row r="81" spans="1:6">
      <c r="B81" s="21"/>
    </row>
    <row r="82" spans="1:6" ht="15">
      <c r="B82" s="59"/>
      <c r="C82" s="60"/>
      <c r="D82" s="60"/>
      <c r="E82" s="60"/>
    </row>
    <row r="83" spans="1:6">
      <c r="B83" s="122"/>
      <c r="C83" s="62"/>
      <c r="D83" s="31"/>
      <c r="E83" s="31"/>
    </row>
    <row r="84" spans="1:6">
      <c r="B84" s="122"/>
      <c r="C84" s="62"/>
      <c r="D84" s="31"/>
      <c r="E84" s="31"/>
    </row>
    <row r="86" spans="1:6" ht="15">
      <c r="B86" s="59"/>
      <c r="C86" s="60"/>
      <c r="D86" s="60"/>
      <c r="E86" s="58"/>
      <c r="F86" s="60"/>
    </row>
    <row r="87" spans="1:6" s="82" customFormat="1" ht="15">
      <c r="B87" s="122"/>
      <c r="C87" s="123"/>
      <c r="D87" s="31"/>
      <c r="E87" s="58"/>
      <c r="F87" s="60"/>
    </row>
    <row r="88" spans="1:6">
      <c r="B88" s="122"/>
      <c r="C88" s="62"/>
      <c r="D88" s="31"/>
    </row>
    <row r="89" spans="1:6">
      <c r="B89" s="122"/>
      <c r="C89" s="62"/>
      <c r="D89" s="31"/>
      <c r="E89" s="31"/>
      <c r="F89" s="31"/>
    </row>
    <row r="90" spans="1:6">
      <c r="B90" s="57"/>
      <c r="C90" s="58"/>
      <c r="D90" s="31"/>
    </row>
    <row r="91" spans="1:6">
      <c r="B91" s="57"/>
      <c r="C91" s="58"/>
      <c r="D91" s="31"/>
    </row>
    <row r="92" spans="1:6">
      <c r="A92" s="85"/>
      <c r="B92" s="42"/>
      <c r="C92" s="58"/>
      <c r="D92" s="31"/>
    </row>
    <row r="93" spans="1:6">
      <c r="B93" s="57"/>
      <c r="C93" s="58"/>
      <c r="D93" s="31"/>
    </row>
    <row r="94" spans="1:6">
      <c r="B94" s="57"/>
      <c r="C94" s="58"/>
      <c r="D94" s="31"/>
    </row>
    <row r="95" spans="1:6">
      <c r="B95" s="57"/>
      <c r="C95" s="58"/>
      <c r="D95" s="31"/>
    </row>
    <row r="96" spans="1:6">
      <c r="B96" s="57"/>
      <c r="C96" s="58"/>
      <c r="D96" s="31"/>
    </row>
    <row r="97" spans="2:4">
      <c r="B97" s="57"/>
      <c r="C97" s="58"/>
      <c r="D97" s="31"/>
    </row>
    <row r="98" spans="2:4">
      <c r="B98" s="57"/>
      <c r="C98" s="58"/>
      <c r="D98" s="31"/>
    </row>
    <row r="99" spans="2:4">
      <c r="B99" s="57"/>
      <c r="C99" s="58"/>
      <c r="D99" s="31"/>
    </row>
  </sheetData>
  <phoneticPr fontId="13" type="noConversion"/>
  <hyperlinks>
    <hyperlink ref="A2" location="Indholdsfortegnelse!A1" display="Indholdsfortegnelse"/>
    <hyperlink ref="B51" r:id="rId1"/>
  </hyperlinks>
  <pageMargins left="0.75" right="0.75" top="1" bottom="1" header="0" footer="0"/>
  <pageSetup paperSize="9" orientation="portrait" verticalDpi="0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>
    <tabColor theme="5" tint="0.39997558519241921"/>
  </sheetPr>
  <dimension ref="A1:BD76"/>
  <sheetViews>
    <sheetView workbookViewId="0"/>
  </sheetViews>
  <sheetFormatPr defaultRowHeight="12.75"/>
  <cols>
    <col min="1" max="1" width="16.5703125" customWidth="1"/>
    <col min="2" max="7" width="9.7109375" customWidth="1"/>
    <col min="8" max="9" width="9.7109375" style="613" customWidth="1"/>
    <col min="10" max="10" width="9.7109375" customWidth="1"/>
    <col min="12" max="12" width="6.7109375" customWidth="1"/>
    <col min="13" max="18" width="8.140625" customWidth="1"/>
    <col min="19" max="20" width="8.140625" style="82" customWidth="1"/>
    <col min="21" max="22" width="8.140625" style="613" customWidth="1"/>
    <col min="23" max="26" width="8.140625" customWidth="1"/>
    <col min="36" max="36" width="5.7109375" customWidth="1"/>
    <col min="37" max="37" width="9.7109375" bestFit="1" customWidth="1"/>
    <col min="38" max="38" width="14.28515625" bestFit="1" customWidth="1"/>
    <col min="39" max="39" width="7" bestFit="1" customWidth="1"/>
    <col min="40" max="40" width="14.42578125" bestFit="1" customWidth="1"/>
    <col min="41" max="41" width="11.140625" bestFit="1" customWidth="1"/>
    <col min="42" max="42" width="14.28515625" bestFit="1" customWidth="1"/>
    <col min="43" max="43" width="7.140625" customWidth="1"/>
    <col min="45" max="45" width="5.7109375" customWidth="1"/>
    <col min="46" max="46" width="9.7109375" bestFit="1" customWidth="1"/>
    <col min="47" max="47" width="14.28515625" bestFit="1" customWidth="1"/>
    <col min="48" max="48" width="7" bestFit="1" customWidth="1"/>
    <col min="49" max="49" width="14.42578125" bestFit="1" customWidth="1"/>
    <col min="50" max="50" width="11.140625" bestFit="1" customWidth="1"/>
    <col min="51" max="51" width="14.28515625" bestFit="1" customWidth="1"/>
    <col min="52" max="52" width="7.140625" customWidth="1"/>
    <col min="54" max="54" width="9.7109375" bestFit="1" customWidth="1"/>
    <col min="56" max="56" width="8.42578125" bestFit="1" customWidth="1"/>
  </cols>
  <sheetData>
    <row r="1" spans="1:56">
      <c r="A1" s="130" t="s">
        <v>30</v>
      </c>
    </row>
    <row r="2" spans="1:56">
      <c r="A2" s="132" t="s">
        <v>56</v>
      </c>
    </row>
    <row r="3" spans="1:56">
      <c r="A3" s="318" t="s">
        <v>1</v>
      </c>
    </row>
    <row r="4" spans="1:56" s="613" customFormat="1">
      <c r="A4" s="318"/>
    </row>
    <row r="5" spans="1:56">
      <c r="AJ5" s="781" t="s">
        <v>416</v>
      </c>
      <c r="AK5" s="33"/>
      <c r="AL5" s="33"/>
      <c r="AM5" s="33"/>
      <c r="AN5" s="33"/>
      <c r="AO5" s="33"/>
      <c r="AP5" s="33"/>
      <c r="AQ5" s="33"/>
      <c r="AS5" s="781" t="s">
        <v>417</v>
      </c>
      <c r="AT5" s="33"/>
      <c r="AU5" s="33"/>
      <c r="AV5" s="33"/>
      <c r="AW5" s="33"/>
      <c r="AX5" s="33"/>
      <c r="AY5" s="33"/>
      <c r="AZ5" s="33"/>
      <c r="BB5" s="781" t="s">
        <v>340</v>
      </c>
      <c r="BD5" s="781" t="s">
        <v>419</v>
      </c>
    </row>
    <row r="6" spans="1:56" ht="31.5" customHeight="1">
      <c r="B6" s="853" t="s">
        <v>0</v>
      </c>
      <c r="C6" s="857" t="s">
        <v>344</v>
      </c>
      <c r="D6" s="859"/>
      <c r="E6" s="858"/>
      <c r="F6" s="857" t="s">
        <v>149</v>
      </c>
      <c r="G6" s="858"/>
      <c r="H6" s="857" t="s">
        <v>345</v>
      </c>
      <c r="I6" s="859"/>
      <c r="J6" s="859"/>
      <c r="L6" s="853" t="s">
        <v>0</v>
      </c>
      <c r="M6" s="857" t="s">
        <v>339</v>
      </c>
      <c r="N6" s="858"/>
      <c r="O6" s="857" t="s">
        <v>14</v>
      </c>
      <c r="P6" s="858"/>
      <c r="Q6" s="855" t="s">
        <v>4</v>
      </c>
      <c r="R6" s="860"/>
      <c r="S6" s="857" t="s">
        <v>220</v>
      </c>
      <c r="T6" s="858"/>
      <c r="U6" s="857" t="s">
        <v>340</v>
      </c>
      <c r="V6" s="858"/>
      <c r="W6" s="857" t="s">
        <v>346</v>
      </c>
      <c r="X6" s="856"/>
      <c r="Y6" s="855" t="s">
        <v>15</v>
      </c>
      <c r="Z6" s="856"/>
      <c r="AA6" s="4"/>
      <c r="AJ6" s="776" t="s">
        <v>0</v>
      </c>
      <c r="AK6" s="64" t="s">
        <v>339</v>
      </c>
      <c r="AL6" s="64" t="s">
        <v>414</v>
      </c>
      <c r="AM6" s="64" t="s">
        <v>4</v>
      </c>
      <c r="AN6" s="64" t="s">
        <v>220</v>
      </c>
      <c r="AO6" s="64" t="s">
        <v>340</v>
      </c>
      <c r="AP6" s="64" t="s">
        <v>413</v>
      </c>
      <c r="AQ6" s="64" t="s">
        <v>15</v>
      </c>
      <c r="AS6" s="776" t="s">
        <v>0</v>
      </c>
      <c r="AT6" s="64" t="s">
        <v>339</v>
      </c>
      <c r="AU6" s="64" t="s">
        <v>414</v>
      </c>
      <c r="AV6" s="64" t="s">
        <v>4</v>
      </c>
      <c r="AW6" s="64" t="s">
        <v>220</v>
      </c>
      <c r="AX6" s="64" t="s">
        <v>340</v>
      </c>
      <c r="AY6" s="64" t="s">
        <v>413</v>
      </c>
      <c r="AZ6" s="64" t="s">
        <v>15</v>
      </c>
      <c r="BB6" s="774" t="s">
        <v>418</v>
      </c>
      <c r="BD6" s="774" t="s">
        <v>418</v>
      </c>
    </row>
    <row r="7" spans="1:56">
      <c r="B7" s="854"/>
      <c r="C7" s="691" t="s">
        <v>2</v>
      </c>
      <c r="D7" s="691" t="s">
        <v>3</v>
      </c>
      <c r="E7" s="691" t="s">
        <v>53</v>
      </c>
      <c r="F7" s="691" t="s">
        <v>2</v>
      </c>
      <c r="G7" s="691" t="s">
        <v>3</v>
      </c>
      <c r="H7" s="688" t="s">
        <v>2</v>
      </c>
      <c r="I7" s="688" t="s">
        <v>3</v>
      </c>
      <c r="J7" s="688" t="s">
        <v>53</v>
      </c>
      <c r="L7" s="854"/>
      <c r="M7" s="690" t="s">
        <v>2</v>
      </c>
      <c r="N7" s="690" t="s">
        <v>3</v>
      </c>
      <c r="O7" s="690" t="s">
        <v>2</v>
      </c>
      <c r="P7" s="690" t="s">
        <v>3</v>
      </c>
      <c r="Q7" s="690" t="s">
        <v>2</v>
      </c>
      <c r="R7" s="690" t="s">
        <v>3</v>
      </c>
      <c r="S7" s="690" t="s">
        <v>2</v>
      </c>
      <c r="T7" s="690" t="s">
        <v>3</v>
      </c>
      <c r="U7" s="690" t="s">
        <v>2</v>
      </c>
      <c r="V7" s="690" t="s">
        <v>3</v>
      </c>
      <c r="W7" s="690" t="s">
        <v>2</v>
      </c>
      <c r="X7" s="711" t="s">
        <v>3</v>
      </c>
      <c r="Y7" s="690" t="s">
        <v>2</v>
      </c>
      <c r="Z7" s="711" t="s">
        <v>3</v>
      </c>
      <c r="AA7" s="4"/>
      <c r="AB7" t="str">
        <f>M6</f>
        <v>Klassisk elforbrug</v>
      </c>
      <c r="AC7" t="str">
        <f>O6</f>
        <v>Individuelle varmepumper</v>
      </c>
      <c r="AD7" t="str">
        <f>Q6</f>
        <v>Elbiler</v>
      </c>
      <c r="AE7" t="str">
        <f>S6</f>
        <v>Femern og elektrificering af fjernbanen</v>
      </c>
      <c r="AF7" t="str">
        <f>U6</f>
        <v>Store datacentre</v>
      </c>
      <c r="AG7" t="str">
        <f>W6</f>
        <v>Elpatroner og store 
varmepumper</v>
      </c>
      <c r="AH7" t="s">
        <v>162</v>
      </c>
      <c r="AJ7" s="776"/>
      <c r="AK7" s="776" t="s">
        <v>5</v>
      </c>
      <c r="AL7" s="776" t="s">
        <v>5</v>
      </c>
      <c r="AM7" s="776" t="s">
        <v>5</v>
      </c>
      <c r="AN7" s="776" t="s">
        <v>5</v>
      </c>
      <c r="AO7" s="776" t="s">
        <v>5</v>
      </c>
      <c r="AP7" s="776" t="s">
        <v>5</v>
      </c>
      <c r="AQ7" s="776" t="s">
        <v>5</v>
      </c>
      <c r="AS7" s="776"/>
      <c r="AT7" s="776" t="s">
        <v>5</v>
      </c>
      <c r="AU7" s="776" t="s">
        <v>5</v>
      </c>
      <c r="AV7" s="776" t="s">
        <v>5</v>
      </c>
      <c r="AW7" s="776" t="s">
        <v>5</v>
      </c>
      <c r="AX7" s="776" t="s">
        <v>5</v>
      </c>
      <c r="AY7" s="776" t="s">
        <v>5</v>
      </c>
      <c r="AZ7" s="776" t="s">
        <v>5</v>
      </c>
      <c r="BB7" s="771" t="s">
        <v>5</v>
      </c>
      <c r="BD7" s="771" t="s">
        <v>5</v>
      </c>
    </row>
    <row r="8" spans="1:56">
      <c r="B8" s="623">
        <v>2016</v>
      </c>
      <c r="C8" s="29">
        <v>13763.123178375907</v>
      </c>
      <c r="D8" s="29">
        <v>20180.701849857745</v>
      </c>
      <c r="E8" s="29">
        <f>C8+D8</f>
        <v>33943.825028233652</v>
      </c>
      <c r="F8" s="29">
        <f>C8-H8</f>
        <v>779.04470820995994</v>
      </c>
      <c r="G8" s="29">
        <f>D8-I8</f>
        <v>1320.2328312991012</v>
      </c>
      <c r="H8" s="615">
        <v>12984.078470165947</v>
      </c>
      <c r="I8" s="615">
        <v>18860.469018558644</v>
      </c>
      <c r="J8" s="615">
        <f>H8+I8</f>
        <v>31844.547488724591</v>
      </c>
      <c r="L8" s="11">
        <v>2016</v>
      </c>
      <c r="M8" s="695">
        <v>13305.635762438047</v>
      </c>
      <c r="N8" s="695">
        <v>19551.378392989282</v>
      </c>
      <c r="O8" s="695">
        <v>211.28698739515903</v>
      </c>
      <c r="P8" s="695">
        <v>310.46632523484766</v>
      </c>
      <c r="Q8" s="695">
        <v>10.489181419226627</v>
      </c>
      <c r="R8" s="695">
        <v>15.412864039082553</v>
      </c>
      <c r="S8" s="695">
        <v>127.2</v>
      </c>
      <c r="T8" s="695">
        <v>79.308815160000009</v>
      </c>
      <c r="U8" s="695">
        <v>0</v>
      </c>
      <c r="V8" s="695">
        <v>0</v>
      </c>
      <c r="W8" s="695">
        <f>('Store varmepumper'!J10+Elpatroner!D9)*1.06</f>
        <v>108.51124712347256</v>
      </c>
      <c r="X8" s="695">
        <f>('Store varmepumper'!S10+Elpatroner!G9)*1.07</f>
        <v>224.13545243453584</v>
      </c>
      <c r="Y8" s="695">
        <f>M8+S8+O8+Q8+U8+W8</f>
        <v>13763.123178375907</v>
      </c>
      <c r="Z8" s="126">
        <f>N8+T8+P8+R8+V8+X8</f>
        <v>20180.701849857745</v>
      </c>
      <c r="AA8" s="4"/>
      <c r="AB8" s="83">
        <f>SUM(M8:N8)</f>
        <v>32857.014155427329</v>
      </c>
      <c r="AC8" s="83">
        <f>SUM(O8:P8)</f>
        <v>521.75331263000669</v>
      </c>
      <c r="AD8" s="83">
        <f>SUM(Q8:R8)</f>
        <v>25.902045458309182</v>
      </c>
      <c r="AE8" s="83">
        <f>SUM(S8:T8)</f>
        <v>206.50881516000001</v>
      </c>
      <c r="AF8" s="83">
        <f>SUM(U8:V8)</f>
        <v>0</v>
      </c>
      <c r="AG8" s="83">
        <f>SUM(W8:X8)</f>
        <v>332.64669955800838</v>
      </c>
      <c r="AH8">
        <v>34468.874363895964</v>
      </c>
      <c r="AJ8" s="779">
        <v>2016</v>
      </c>
      <c r="AK8" s="757">
        <f>M8</f>
        <v>13305.635762438047</v>
      </c>
      <c r="AL8" s="757">
        <f>O8</f>
        <v>211.28698739515903</v>
      </c>
      <c r="AM8" s="757">
        <f>Q8</f>
        <v>10.489181419226627</v>
      </c>
      <c r="AN8" s="757">
        <f>S8</f>
        <v>127.2</v>
      </c>
      <c r="AO8" s="757">
        <f>U8</f>
        <v>0</v>
      </c>
      <c r="AP8" s="757">
        <f>W8</f>
        <v>108.51124712347256</v>
      </c>
      <c r="AQ8" s="757">
        <f>Y8</f>
        <v>13763.123178375907</v>
      </c>
      <c r="AS8" s="779">
        <v>2016</v>
      </c>
      <c r="AT8" s="757">
        <f>N8</f>
        <v>19551.378392989282</v>
      </c>
      <c r="AU8" s="757">
        <f>P8</f>
        <v>310.46632523484766</v>
      </c>
      <c r="AV8" s="757">
        <f>R8</f>
        <v>15.412864039082553</v>
      </c>
      <c r="AW8" s="757">
        <f>T8</f>
        <v>79.308815160000009</v>
      </c>
      <c r="AX8" s="757">
        <f>V8</f>
        <v>0</v>
      </c>
      <c r="AY8" s="757">
        <f>X8</f>
        <v>224.13545243453584</v>
      </c>
      <c r="AZ8" s="757">
        <f>Z8</f>
        <v>20180.701849857745</v>
      </c>
      <c r="BB8" s="757">
        <v>0</v>
      </c>
      <c r="BD8" s="757">
        <v>194.12038799999999</v>
      </c>
    </row>
    <row r="9" spans="1:56">
      <c r="B9" s="623">
        <v>2017</v>
      </c>
      <c r="C9" s="29">
        <v>13864.179411071002</v>
      </c>
      <c r="D9" s="29">
        <v>20933.862806790206</v>
      </c>
      <c r="E9" s="29">
        <f t="shared" ref="E9:E32" si="0">C9+D9</f>
        <v>34798.042217861206</v>
      </c>
      <c r="F9" s="29">
        <f t="shared" ref="F9:F32" si="1">C9-H9</f>
        <v>784.76487232477484</v>
      </c>
      <c r="G9" s="29">
        <f t="shared" ref="G9:G32" si="2">D9-I9</f>
        <v>1369.5050434348777</v>
      </c>
      <c r="H9" s="615">
        <v>13079.414538746227</v>
      </c>
      <c r="I9" s="615">
        <v>19564.357763355329</v>
      </c>
      <c r="J9" s="615">
        <f t="shared" ref="J9:J32" si="3">H9+I9</f>
        <v>32643.772302101555</v>
      </c>
      <c r="L9" s="11">
        <v>2017</v>
      </c>
      <c r="M9" s="695">
        <v>13403.604713115214</v>
      </c>
      <c r="N9" s="695">
        <v>19672.883813319986</v>
      </c>
      <c r="O9" s="695">
        <v>225.28881060579303</v>
      </c>
      <c r="P9" s="695">
        <v>330.66333201784863</v>
      </c>
      <c r="Q9" s="695">
        <v>11.66252650612312</v>
      </c>
      <c r="R9" s="695">
        <v>17.117449658913458</v>
      </c>
      <c r="S9" s="695">
        <v>127.2</v>
      </c>
      <c r="T9" s="695">
        <v>87.997630319999999</v>
      </c>
      <c r="U9" s="695">
        <v>0</v>
      </c>
      <c r="V9" s="695">
        <v>0</v>
      </c>
      <c r="W9" s="695">
        <f>('Store varmepumper'!J11+Elpatroner!D10)*1.06</f>
        <v>96.42336084387081</v>
      </c>
      <c r="X9" s="695">
        <f>('Store varmepumper'!S11+Elpatroner!G10)*1.07</f>
        <v>825.20058147346083</v>
      </c>
      <c r="Y9" s="695">
        <f t="shared" ref="Y9:Y32" si="4">M9+S9+O9+Q9+U9+W9</f>
        <v>13864.179411071002</v>
      </c>
      <c r="Z9" s="126">
        <f t="shared" ref="Z9:Z32" si="5">N9+T9+P9+R9+V9+X9</f>
        <v>20933.862806790206</v>
      </c>
      <c r="AA9" s="4"/>
      <c r="AB9" s="83">
        <f t="shared" ref="AB9:AB32" si="6">SUM(M9:N9)</f>
        <v>33076.488526435198</v>
      </c>
      <c r="AC9" s="83">
        <f t="shared" ref="AC9:AC32" si="7">SUM(O9:P9)</f>
        <v>555.95214262364163</v>
      </c>
      <c r="AD9" s="83">
        <f t="shared" ref="AD9:AD32" si="8">SUM(Q9:R9)</f>
        <v>28.77997616503658</v>
      </c>
      <c r="AE9" s="83">
        <f t="shared" ref="AE9:AE32" si="9">SUM(S9:T9)</f>
        <v>215.19763032</v>
      </c>
      <c r="AF9" s="83">
        <f t="shared" ref="AF9:AF32" si="10">SUM(U9:V9)</f>
        <v>0</v>
      </c>
      <c r="AG9" s="83">
        <f t="shared" ref="AG9:AG32" si="11">SUM(W9:X9)</f>
        <v>921.62394231733163</v>
      </c>
      <c r="AH9">
        <v>34813.807537372282</v>
      </c>
      <c r="AJ9" s="779">
        <v>2017</v>
      </c>
      <c r="AK9" s="757">
        <f t="shared" ref="AK9:AK32" si="12">M9</f>
        <v>13403.604713115214</v>
      </c>
      <c r="AL9" s="757">
        <f t="shared" ref="AL9:AL32" si="13">O9</f>
        <v>225.28881060579303</v>
      </c>
      <c r="AM9" s="757">
        <f t="shared" ref="AM9:AM32" si="14">Q9</f>
        <v>11.66252650612312</v>
      </c>
      <c r="AN9" s="757">
        <f t="shared" ref="AN9:AN32" si="15">S9</f>
        <v>127.2</v>
      </c>
      <c r="AO9" s="757">
        <f t="shared" ref="AO9:AO32" si="16">U9</f>
        <v>0</v>
      </c>
      <c r="AP9" s="757">
        <f t="shared" ref="AP9:AP32" si="17">W9</f>
        <v>96.42336084387081</v>
      </c>
      <c r="AQ9" s="757">
        <f t="shared" ref="AQ9:AQ32" si="18">Y9</f>
        <v>13864.179411071002</v>
      </c>
      <c r="AS9" s="779">
        <v>2017</v>
      </c>
      <c r="AT9" s="757">
        <f t="shared" ref="AT9:AT32" si="19">N9</f>
        <v>19672.883813319986</v>
      </c>
      <c r="AU9" s="757">
        <f t="shared" ref="AU9:AU32" si="20">P9</f>
        <v>330.66333201784863</v>
      </c>
      <c r="AV9" s="757">
        <f t="shared" ref="AV9:AV32" si="21">R9</f>
        <v>17.117449658913458</v>
      </c>
      <c r="AW9" s="757">
        <f t="shared" ref="AW9:AW32" si="22">T9</f>
        <v>87.997630319999999</v>
      </c>
      <c r="AX9" s="757">
        <f t="shared" ref="AX9:AX32" si="23">V9</f>
        <v>0</v>
      </c>
      <c r="AY9" s="757">
        <f t="shared" ref="AY9:AY32" si="24">X9</f>
        <v>825.20058147346083</v>
      </c>
      <c r="AZ9" s="757">
        <f t="shared" ref="AZ9:AZ32" si="25">Z9</f>
        <v>20933.862806790206</v>
      </c>
      <c r="BB9" s="757">
        <v>0</v>
      </c>
      <c r="BD9" s="757">
        <v>202.24077599999998</v>
      </c>
    </row>
    <row r="10" spans="1:56">
      <c r="B10" s="623">
        <v>2018</v>
      </c>
      <c r="C10" s="29">
        <v>14190.328179279371</v>
      </c>
      <c r="D10" s="29">
        <v>21854.360572354442</v>
      </c>
      <c r="E10" s="29">
        <f t="shared" si="0"/>
        <v>36044.688751633817</v>
      </c>
      <c r="F10" s="29">
        <f t="shared" si="1"/>
        <v>803.22612335543818</v>
      </c>
      <c r="G10" s="29">
        <f t="shared" si="2"/>
        <v>1429.7245234250622</v>
      </c>
      <c r="H10" s="615">
        <v>13387.102055923933</v>
      </c>
      <c r="I10" s="615">
        <v>20424.63604892938</v>
      </c>
      <c r="J10" s="615">
        <f t="shared" si="3"/>
        <v>33811.738104853313</v>
      </c>
      <c r="L10" s="11">
        <v>2018</v>
      </c>
      <c r="M10" s="695">
        <v>13491.18805441481</v>
      </c>
      <c r="N10" s="695">
        <v>19793.464083815103</v>
      </c>
      <c r="O10" s="695">
        <v>239.44046307019718</v>
      </c>
      <c r="P10" s="695">
        <v>351.29272432320107</v>
      </c>
      <c r="Q10" s="695">
        <v>12.961453258946795</v>
      </c>
      <c r="R10" s="695">
        <v>19.016268880119746</v>
      </c>
      <c r="S10" s="695">
        <v>148.53127888000003</v>
      </c>
      <c r="T10" s="695">
        <v>96.686445480000003</v>
      </c>
      <c r="U10" s="695">
        <v>0</v>
      </c>
      <c r="V10" s="695">
        <v>749.85599999999999</v>
      </c>
      <c r="W10" s="695">
        <f>('Store varmepumper'!J12+Elpatroner!D11)*1.06</f>
        <v>298.2069296554165</v>
      </c>
      <c r="X10" s="695">
        <f>('Store varmepumper'!S12+Elpatroner!G11)*1.07</f>
        <v>844.04504985601579</v>
      </c>
      <c r="Y10" s="695">
        <f t="shared" si="4"/>
        <v>14190.328179279371</v>
      </c>
      <c r="Z10" s="126">
        <f t="shared" si="5"/>
        <v>21854.360572354442</v>
      </c>
      <c r="AA10" s="4"/>
      <c r="AB10" s="83">
        <f t="shared" si="6"/>
        <v>33284.652138229911</v>
      </c>
      <c r="AC10" s="83">
        <f t="shared" si="7"/>
        <v>590.73318739339823</v>
      </c>
      <c r="AD10" s="83">
        <f t="shared" si="8"/>
        <v>31.977722139066543</v>
      </c>
      <c r="AE10" s="83">
        <f t="shared" si="9"/>
        <v>245.21772436000003</v>
      </c>
      <c r="AF10" s="83">
        <f t="shared" si="10"/>
        <v>749.85599999999999</v>
      </c>
      <c r="AG10" s="83">
        <f t="shared" si="11"/>
        <v>1142.2519795114322</v>
      </c>
      <c r="AH10">
        <v>35219.782876881254</v>
      </c>
      <c r="AJ10" s="779">
        <v>2018</v>
      </c>
      <c r="AK10" s="757">
        <f t="shared" si="12"/>
        <v>13491.18805441481</v>
      </c>
      <c r="AL10" s="757">
        <f t="shared" si="13"/>
        <v>239.44046307019718</v>
      </c>
      <c r="AM10" s="757">
        <f t="shared" si="14"/>
        <v>12.961453258946795</v>
      </c>
      <c r="AN10" s="757">
        <f t="shared" si="15"/>
        <v>148.53127888000003</v>
      </c>
      <c r="AO10" s="757">
        <f t="shared" si="16"/>
        <v>0</v>
      </c>
      <c r="AP10" s="757">
        <f t="shared" si="17"/>
        <v>298.2069296554165</v>
      </c>
      <c r="AQ10" s="757">
        <f t="shared" si="18"/>
        <v>14190.328179279371</v>
      </c>
      <c r="AS10" s="779">
        <v>2018</v>
      </c>
      <c r="AT10" s="757">
        <f t="shared" si="19"/>
        <v>19793.464083815103</v>
      </c>
      <c r="AU10" s="757">
        <f t="shared" si="20"/>
        <v>351.29272432320107</v>
      </c>
      <c r="AV10" s="757">
        <f t="shared" si="21"/>
        <v>19.016268880119746</v>
      </c>
      <c r="AW10" s="757">
        <f t="shared" si="22"/>
        <v>96.686445480000003</v>
      </c>
      <c r="AX10" s="757">
        <f t="shared" si="23"/>
        <v>749.85599999999999</v>
      </c>
      <c r="AY10" s="757">
        <f t="shared" si="24"/>
        <v>844.04504985601579</v>
      </c>
      <c r="AZ10" s="757">
        <f t="shared" si="25"/>
        <v>21854.360572354442</v>
      </c>
      <c r="BB10" s="757">
        <v>700.8</v>
      </c>
      <c r="BD10" s="757">
        <v>230.48501200000001</v>
      </c>
    </row>
    <row r="11" spans="1:56">
      <c r="B11" s="623">
        <v>2019</v>
      </c>
      <c r="C11" s="29">
        <v>14365.843372969155</v>
      </c>
      <c r="D11" s="29">
        <v>22771.292381971278</v>
      </c>
      <c r="E11" s="29">
        <f t="shared" si="0"/>
        <v>37137.135754940435</v>
      </c>
      <c r="F11" s="29">
        <f t="shared" si="1"/>
        <v>813.16094563976549</v>
      </c>
      <c r="G11" s="29">
        <f t="shared" si="2"/>
        <v>1489.7107165775633</v>
      </c>
      <c r="H11" s="615">
        <v>13552.68242732939</v>
      </c>
      <c r="I11" s="615">
        <v>21281.581665393715</v>
      </c>
      <c r="J11" s="615">
        <f t="shared" si="3"/>
        <v>34834.264092723104</v>
      </c>
      <c r="L11" s="11">
        <v>2019</v>
      </c>
      <c r="M11" s="695">
        <v>13596.93202494226</v>
      </c>
      <c r="N11" s="695">
        <v>19936.902752237438</v>
      </c>
      <c r="O11" s="695">
        <v>254.49183276136421</v>
      </c>
      <c r="P11" s="695">
        <v>373.15615844034767</v>
      </c>
      <c r="Q11" s="695">
        <v>14.586704190455672</v>
      </c>
      <c r="R11" s="695">
        <v>21.388185392653238</v>
      </c>
      <c r="S11" s="695">
        <v>189.97689727999997</v>
      </c>
      <c r="T11" s="695">
        <v>105.37526063999999</v>
      </c>
      <c r="U11" s="695">
        <v>0</v>
      </c>
      <c r="V11" s="695">
        <v>1499.712</v>
      </c>
      <c r="W11" s="695">
        <f>('Store varmepumper'!J13+Elpatroner!D12)*1.06</f>
        <v>309.85591379507537</v>
      </c>
      <c r="X11" s="695">
        <f>('Store varmepumper'!S13+Elpatroner!G12)*1.07</f>
        <v>834.75802526083794</v>
      </c>
      <c r="Y11" s="695">
        <f t="shared" si="4"/>
        <v>14365.843372969155</v>
      </c>
      <c r="Z11" s="126">
        <f t="shared" si="5"/>
        <v>22771.292381971278</v>
      </c>
      <c r="AA11" s="4"/>
      <c r="AB11" s="83">
        <f t="shared" si="6"/>
        <v>33533.834777179698</v>
      </c>
      <c r="AC11" s="83">
        <f t="shared" si="7"/>
        <v>627.64799120171187</v>
      </c>
      <c r="AD11" s="83">
        <f t="shared" si="8"/>
        <v>35.974889583108911</v>
      </c>
      <c r="AE11" s="83">
        <f t="shared" si="9"/>
        <v>295.35215791999997</v>
      </c>
      <c r="AF11" s="83">
        <f t="shared" si="10"/>
        <v>1499.712</v>
      </c>
      <c r="AG11" s="83">
        <f t="shared" si="11"/>
        <v>1144.6139390559133</v>
      </c>
      <c r="AH11">
        <v>35556.351084949711</v>
      </c>
      <c r="AJ11" s="779">
        <v>2019</v>
      </c>
      <c r="AK11" s="757">
        <f t="shared" si="12"/>
        <v>13596.93202494226</v>
      </c>
      <c r="AL11" s="757">
        <f t="shared" si="13"/>
        <v>254.49183276136421</v>
      </c>
      <c r="AM11" s="757">
        <f t="shared" si="14"/>
        <v>14.586704190455672</v>
      </c>
      <c r="AN11" s="757">
        <f t="shared" si="15"/>
        <v>189.97689727999997</v>
      </c>
      <c r="AO11" s="757">
        <f t="shared" si="16"/>
        <v>0</v>
      </c>
      <c r="AP11" s="757">
        <f t="shared" si="17"/>
        <v>309.85591379507537</v>
      </c>
      <c r="AQ11" s="757">
        <f t="shared" si="18"/>
        <v>14365.843372969155</v>
      </c>
      <c r="AS11" s="779">
        <v>2019</v>
      </c>
      <c r="AT11" s="757">
        <f t="shared" si="19"/>
        <v>19936.902752237438</v>
      </c>
      <c r="AU11" s="757">
        <f t="shared" si="20"/>
        <v>373.15615844034767</v>
      </c>
      <c r="AV11" s="757">
        <f t="shared" si="21"/>
        <v>21.388185392653238</v>
      </c>
      <c r="AW11" s="757">
        <f t="shared" si="22"/>
        <v>105.37526063999999</v>
      </c>
      <c r="AX11" s="757">
        <f t="shared" si="23"/>
        <v>1499.712</v>
      </c>
      <c r="AY11" s="757">
        <f t="shared" si="24"/>
        <v>834.75802526083794</v>
      </c>
      <c r="AZ11" s="757">
        <f t="shared" si="25"/>
        <v>22771.292381971278</v>
      </c>
      <c r="BB11" s="757">
        <v>1401.6</v>
      </c>
      <c r="BD11" s="757">
        <v>277.70503999999994</v>
      </c>
    </row>
    <row r="12" spans="1:56">
      <c r="B12" s="623">
        <v>2020</v>
      </c>
      <c r="C12" s="29">
        <v>14528.989141173019</v>
      </c>
      <c r="D12" s="29">
        <v>23476.313585555192</v>
      </c>
      <c r="E12" s="29">
        <f t="shared" si="0"/>
        <v>38005.302726728209</v>
      </c>
      <c r="F12" s="29">
        <f t="shared" si="1"/>
        <v>822.39561176451025</v>
      </c>
      <c r="G12" s="29">
        <f t="shared" si="2"/>
        <v>1535.8335990550149</v>
      </c>
      <c r="H12" s="615">
        <v>13706.593529408508</v>
      </c>
      <c r="I12" s="615">
        <v>21940.479986500177</v>
      </c>
      <c r="J12" s="615">
        <f t="shared" si="3"/>
        <v>35647.073515908683</v>
      </c>
      <c r="L12" s="11">
        <v>2020</v>
      </c>
      <c r="M12" s="695">
        <v>13598.986288067908</v>
      </c>
      <c r="N12" s="695">
        <v>19941.594141356163</v>
      </c>
      <c r="O12" s="695">
        <v>270.54749743872998</v>
      </c>
      <c r="P12" s="695">
        <v>396.73165893376824</v>
      </c>
      <c r="Q12" s="695">
        <v>16.206640739458191</v>
      </c>
      <c r="R12" s="695">
        <v>23.765466423377109</v>
      </c>
      <c r="S12" s="695">
        <v>294.91345863999999</v>
      </c>
      <c r="T12" s="695">
        <v>167.72165684000001</v>
      </c>
      <c r="U12" s="695">
        <v>0</v>
      </c>
      <c r="V12" s="695">
        <v>2249.5680000000002</v>
      </c>
      <c r="W12" s="695">
        <f>('Store varmepumper'!J14+Elpatroner!D13)*1.06</f>
        <v>348.33525628692234</v>
      </c>
      <c r="X12" s="695">
        <f>('Store varmepumper'!S14+Elpatroner!G13)*1.07</f>
        <v>696.93266200188259</v>
      </c>
      <c r="Y12" s="695">
        <f t="shared" si="4"/>
        <v>14528.989141173019</v>
      </c>
      <c r="Z12" s="126">
        <f t="shared" si="5"/>
        <v>23476.313585555192</v>
      </c>
      <c r="AA12" s="4"/>
      <c r="AB12" s="83">
        <f t="shared" si="6"/>
        <v>33540.580429424073</v>
      </c>
      <c r="AC12" s="83">
        <f t="shared" si="7"/>
        <v>667.27915637249816</v>
      </c>
      <c r="AD12" s="83">
        <f t="shared" si="8"/>
        <v>39.9721071628353</v>
      </c>
      <c r="AE12" s="83">
        <f t="shared" si="9"/>
        <v>462.63511547999997</v>
      </c>
      <c r="AF12" s="83">
        <f t="shared" si="10"/>
        <v>2249.5680000000002</v>
      </c>
      <c r="AG12" s="83">
        <f t="shared" si="11"/>
        <v>1045.267918288805</v>
      </c>
      <c r="AH12">
        <v>35892.606922868843</v>
      </c>
      <c r="AJ12" s="779">
        <v>2020</v>
      </c>
      <c r="AK12" s="757">
        <f t="shared" si="12"/>
        <v>13598.986288067908</v>
      </c>
      <c r="AL12" s="757">
        <f t="shared" si="13"/>
        <v>270.54749743872998</v>
      </c>
      <c r="AM12" s="757">
        <f t="shared" si="14"/>
        <v>16.206640739458191</v>
      </c>
      <c r="AN12" s="757">
        <f t="shared" si="15"/>
        <v>294.91345863999999</v>
      </c>
      <c r="AO12" s="757">
        <f t="shared" si="16"/>
        <v>0</v>
      </c>
      <c r="AP12" s="757">
        <f t="shared" si="17"/>
        <v>348.33525628692234</v>
      </c>
      <c r="AQ12" s="757">
        <f t="shared" si="18"/>
        <v>14528.989141173019</v>
      </c>
      <c r="AS12" s="779">
        <v>2020</v>
      </c>
      <c r="AT12" s="757">
        <f t="shared" si="19"/>
        <v>19941.594141356163</v>
      </c>
      <c r="AU12" s="757">
        <f t="shared" si="20"/>
        <v>396.73165893376824</v>
      </c>
      <c r="AV12" s="757">
        <f t="shared" si="21"/>
        <v>23.765466423377109</v>
      </c>
      <c r="AW12" s="757">
        <f t="shared" si="22"/>
        <v>167.72165684000001</v>
      </c>
      <c r="AX12" s="757">
        <f t="shared" si="23"/>
        <v>2249.5680000000002</v>
      </c>
      <c r="AY12" s="757">
        <f t="shared" si="24"/>
        <v>696.93266200188259</v>
      </c>
      <c r="AZ12" s="757">
        <f t="shared" si="25"/>
        <v>23476.313585555192</v>
      </c>
      <c r="BB12" s="757">
        <v>2102.4</v>
      </c>
      <c r="BD12" s="757">
        <v>434.96945599999998</v>
      </c>
    </row>
    <row r="13" spans="1:56">
      <c r="B13" s="623">
        <v>2021</v>
      </c>
      <c r="C13" s="29">
        <v>14645.398789264551</v>
      </c>
      <c r="D13" s="29">
        <v>24094.191731641462</v>
      </c>
      <c r="E13" s="29">
        <f t="shared" si="0"/>
        <v>38739.590520906015</v>
      </c>
      <c r="F13" s="29">
        <f t="shared" si="1"/>
        <v>828.98483712818597</v>
      </c>
      <c r="G13" s="29">
        <f t="shared" si="2"/>
        <v>1576.2555338457059</v>
      </c>
      <c r="H13" s="615">
        <v>13816.413952136365</v>
      </c>
      <c r="I13" s="615">
        <v>22517.936197795756</v>
      </c>
      <c r="J13" s="615">
        <f t="shared" si="3"/>
        <v>36334.350149932121</v>
      </c>
      <c r="L13" s="11">
        <v>2021</v>
      </c>
      <c r="M13" s="695">
        <v>13571.850545237272</v>
      </c>
      <c r="N13" s="695">
        <v>19907.482213933996</v>
      </c>
      <c r="O13" s="695">
        <v>295.86893929364584</v>
      </c>
      <c r="P13" s="695">
        <v>433.98692219689474</v>
      </c>
      <c r="Q13" s="695">
        <v>43.10237836983994</v>
      </c>
      <c r="R13" s="695">
        <v>63.223495419123836</v>
      </c>
      <c r="S13" s="695">
        <v>404.60551495999999</v>
      </c>
      <c r="T13" s="695">
        <v>229.03075224000003</v>
      </c>
      <c r="U13" s="695">
        <v>0</v>
      </c>
      <c r="V13" s="695">
        <v>2843.2040000000002</v>
      </c>
      <c r="W13" s="695">
        <f>('Store varmepumper'!J15+Elpatroner!D14)*1.06</f>
        <v>329.97141140379171</v>
      </c>
      <c r="X13" s="695">
        <f>('Store varmepumper'!S15+Elpatroner!G14)*1.07</f>
        <v>617.2643478514459</v>
      </c>
      <c r="Y13" s="695">
        <f t="shared" si="4"/>
        <v>14645.398789264551</v>
      </c>
      <c r="Z13" s="126">
        <f t="shared" si="5"/>
        <v>24094.191731641462</v>
      </c>
      <c r="AA13" s="4"/>
      <c r="AB13" s="83">
        <f t="shared" si="6"/>
        <v>33479.332759171266</v>
      </c>
      <c r="AC13" s="83">
        <f t="shared" si="7"/>
        <v>729.85586149054052</v>
      </c>
      <c r="AD13" s="83">
        <f t="shared" si="8"/>
        <v>106.32587378896378</v>
      </c>
      <c r="AE13" s="83">
        <f t="shared" si="9"/>
        <v>633.63626720000002</v>
      </c>
      <c r="AF13" s="83">
        <f t="shared" si="10"/>
        <v>2843.2040000000002</v>
      </c>
      <c r="AG13" s="83">
        <f t="shared" si="11"/>
        <v>947.23575925523755</v>
      </c>
      <c r="AH13">
        <v>36373.975326642969</v>
      </c>
      <c r="AJ13" s="779">
        <v>2021</v>
      </c>
      <c r="AK13" s="757">
        <f t="shared" si="12"/>
        <v>13571.850545237272</v>
      </c>
      <c r="AL13" s="757">
        <f t="shared" si="13"/>
        <v>295.86893929364584</v>
      </c>
      <c r="AM13" s="757">
        <f t="shared" si="14"/>
        <v>43.10237836983994</v>
      </c>
      <c r="AN13" s="757">
        <f t="shared" si="15"/>
        <v>404.60551495999999</v>
      </c>
      <c r="AO13" s="757">
        <f t="shared" si="16"/>
        <v>0</v>
      </c>
      <c r="AP13" s="757">
        <f t="shared" si="17"/>
        <v>329.97141140379171</v>
      </c>
      <c r="AQ13" s="757">
        <f t="shared" si="18"/>
        <v>14645.398789264551</v>
      </c>
      <c r="AS13" s="779">
        <v>2021</v>
      </c>
      <c r="AT13" s="757">
        <f t="shared" si="19"/>
        <v>19907.482213933996</v>
      </c>
      <c r="AU13" s="757">
        <f t="shared" si="20"/>
        <v>433.98692219689474</v>
      </c>
      <c r="AV13" s="757">
        <f t="shared" si="21"/>
        <v>63.223495419123836</v>
      </c>
      <c r="AW13" s="757">
        <f t="shared" si="22"/>
        <v>229.03075224000003</v>
      </c>
      <c r="AX13" s="757">
        <f t="shared" si="23"/>
        <v>2843.2040000000002</v>
      </c>
      <c r="AY13" s="757">
        <f t="shared" si="24"/>
        <v>617.2643478514459</v>
      </c>
      <c r="AZ13" s="757">
        <f t="shared" si="25"/>
        <v>24094.191731641462</v>
      </c>
      <c r="BB13" s="757">
        <v>2657.2</v>
      </c>
      <c r="BD13" s="757">
        <v>595.75074799999993</v>
      </c>
    </row>
    <row r="14" spans="1:56">
      <c r="B14" s="623">
        <v>2022</v>
      </c>
      <c r="C14" s="29">
        <v>14848.8741299062</v>
      </c>
      <c r="D14" s="29">
        <v>24835.397218514867</v>
      </c>
      <c r="E14" s="29">
        <f t="shared" si="0"/>
        <v>39684.271348421069</v>
      </c>
      <c r="F14" s="29">
        <f t="shared" si="1"/>
        <v>840.50230923997515</v>
      </c>
      <c r="G14" s="29">
        <f t="shared" si="2"/>
        <v>1624.7456124262062</v>
      </c>
      <c r="H14" s="615">
        <v>14008.371820666225</v>
      </c>
      <c r="I14" s="615">
        <v>23210.651606088661</v>
      </c>
      <c r="J14" s="615">
        <f t="shared" si="3"/>
        <v>37219.023426754888</v>
      </c>
      <c r="L14" s="11">
        <v>2022</v>
      </c>
      <c r="M14" s="695">
        <v>13595.04209892126</v>
      </c>
      <c r="N14" s="695">
        <v>19946.286699005559</v>
      </c>
      <c r="O14" s="695">
        <v>323.36526729142048</v>
      </c>
      <c r="P14" s="695">
        <v>474.43297953501946</v>
      </c>
      <c r="Q14" s="695">
        <v>69.990903468883971</v>
      </c>
      <c r="R14" s="695">
        <v>102.68880498895676</v>
      </c>
      <c r="S14" s="695">
        <v>523.77125767999996</v>
      </c>
      <c r="T14" s="695">
        <v>321.98478948000002</v>
      </c>
      <c r="U14" s="695">
        <v>0</v>
      </c>
      <c r="V14" s="695">
        <v>3436.84</v>
      </c>
      <c r="W14" s="695">
        <f>('Store varmepumper'!J16+Elpatroner!D15)*1.06</f>
        <v>336.70460254463404</v>
      </c>
      <c r="X14" s="695">
        <f>('Store varmepumper'!S16+Elpatroner!G15)*1.07</f>
        <v>553.16394550533062</v>
      </c>
      <c r="Y14" s="695">
        <f t="shared" si="4"/>
        <v>14848.8741299062</v>
      </c>
      <c r="Z14" s="126">
        <f t="shared" si="5"/>
        <v>24835.397218514867</v>
      </c>
      <c r="AA14" s="4"/>
      <c r="AB14" s="83">
        <f t="shared" si="6"/>
        <v>33541.328797926821</v>
      </c>
      <c r="AC14" s="83">
        <f t="shared" si="7"/>
        <v>797.79824682643994</v>
      </c>
      <c r="AD14" s="83">
        <f t="shared" si="8"/>
        <v>172.67970845784072</v>
      </c>
      <c r="AE14" s="83">
        <f t="shared" si="9"/>
        <v>845.75604715999998</v>
      </c>
      <c r="AF14" s="83">
        <f t="shared" si="10"/>
        <v>3436.84</v>
      </c>
      <c r="AG14" s="83">
        <f t="shared" si="11"/>
        <v>889.8685480499646</v>
      </c>
      <c r="AH14">
        <v>36998.95647981271</v>
      </c>
      <c r="AJ14" s="779">
        <v>2022</v>
      </c>
      <c r="AK14" s="757">
        <f t="shared" si="12"/>
        <v>13595.04209892126</v>
      </c>
      <c r="AL14" s="757">
        <f t="shared" si="13"/>
        <v>323.36526729142048</v>
      </c>
      <c r="AM14" s="757">
        <f t="shared" si="14"/>
        <v>69.990903468883971</v>
      </c>
      <c r="AN14" s="757">
        <f t="shared" si="15"/>
        <v>523.77125767999996</v>
      </c>
      <c r="AO14" s="757">
        <f t="shared" si="16"/>
        <v>0</v>
      </c>
      <c r="AP14" s="757">
        <f t="shared" si="17"/>
        <v>336.70460254463404</v>
      </c>
      <c r="AQ14" s="757">
        <f t="shared" si="18"/>
        <v>14848.8741299062</v>
      </c>
      <c r="AS14" s="779">
        <v>2022</v>
      </c>
      <c r="AT14" s="757">
        <f t="shared" si="19"/>
        <v>19946.286699005559</v>
      </c>
      <c r="AU14" s="757">
        <f t="shared" si="20"/>
        <v>474.43297953501946</v>
      </c>
      <c r="AV14" s="757">
        <f t="shared" si="21"/>
        <v>102.68880498895676</v>
      </c>
      <c r="AW14" s="757">
        <f t="shared" si="22"/>
        <v>321.98478948000002</v>
      </c>
      <c r="AX14" s="757">
        <f t="shared" si="23"/>
        <v>3436.84</v>
      </c>
      <c r="AY14" s="757">
        <f t="shared" si="24"/>
        <v>553.16394550533062</v>
      </c>
      <c r="AZ14" s="757">
        <f t="shared" si="25"/>
        <v>24835.397218514867</v>
      </c>
      <c r="BB14" s="757">
        <v>3212</v>
      </c>
      <c r="BD14" s="757">
        <v>795.04419199999984</v>
      </c>
    </row>
    <row r="15" spans="1:56">
      <c r="B15" s="623">
        <v>2023</v>
      </c>
      <c r="C15" s="29">
        <v>15013.616894660026</v>
      </c>
      <c r="D15" s="29">
        <v>25688.754858408673</v>
      </c>
      <c r="E15" s="29">
        <f t="shared" si="0"/>
        <v>40702.371753068699</v>
      </c>
      <c r="F15" s="29">
        <f t="shared" si="1"/>
        <v>849.8273713958497</v>
      </c>
      <c r="G15" s="29">
        <f t="shared" si="2"/>
        <v>1680.5727477463624</v>
      </c>
      <c r="H15" s="615">
        <v>14163.789523264177</v>
      </c>
      <c r="I15" s="615">
        <v>24008.18211066231</v>
      </c>
      <c r="J15" s="615">
        <f t="shared" si="3"/>
        <v>38171.971633926485</v>
      </c>
      <c r="L15" s="11">
        <v>2023</v>
      </c>
      <c r="M15" s="695">
        <v>13595.140052155069</v>
      </c>
      <c r="N15" s="695">
        <v>19966.032674332731</v>
      </c>
      <c r="O15" s="695">
        <v>353.40034676247967</v>
      </c>
      <c r="P15" s="695">
        <v>519.00920796043476</v>
      </c>
      <c r="Q15" s="695">
        <v>96.829183137739363</v>
      </c>
      <c r="R15" s="695">
        <v>142.20483400247065</v>
      </c>
      <c r="S15" s="695">
        <v>621.60572151999997</v>
      </c>
      <c r="T15" s="695">
        <v>431.11290392000001</v>
      </c>
      <c r="U15" s="695">
        <v>0</v>
      </c>
      <c r="V15" s="695">
        <v>4030.4760000000006</v>
      </c>
      <c r="W15" s="695">
        <f>('Store varmepumper'!J17+Elpatroner!D16)*1.06</f>
        <v>346.64159108473814</v>
      </c>
      <c r="X15" s="695">
        <f>('Store varmepumper'!S17+Elpatroner!G16)*1.07</f>
        <v>599.91923819303543</v>
      </c>
      <c r="Y15" s="695">
        <f t="shared" si="4"/>
        <v>15013.616894660026</v>
      </c>
      <c r="Z15" s="126">
        <f t="shared" si="5"/>
        <v>25688.754858408673</v>
      </c>
      <c r="AA15" s="4"/>
      <c r="AB15" s="83">
        <f t="shared" si="6"/>
        <v>33561.172726487799</v>
      </c>
      <c r="AC15" s="83">
        <f t="shared" si="7"/>
        <v>872.40955472291444</v>
      </c>
      <c r="AD15" s="83">
        <f t="shared" si="8"/>
        <v>239.03401714021001</v>
      </c>
      <c r="AE15" s="83">
        <f t="shared" si="9"/>
        <v>1052.7186254399999</v>
      </c>
      <c r="AF15" s="83">
        <f t="shared" si="10"/>
        <v>4030.4760000000006</v>
      </c>
      <c r="AG15" s="83">
        <f t="shared" si="11"/>
        <v>946.56082927777356</v>
      </c>
      <c r="AH15">
        <v>37485.247676533851</v>
      </c>
      <c r="AJ15" s="779">
        <v>2023</v>
      </c>
      <c r="AK15" s="757">
        <f t="shared" si="12"/>
        <v>13595.140052155069</v>
      </c>
      <c r="AL15" s="757">
        <f t="shared" si="13"/>
        <v>353.40034676247967</v>
      </c>
      <c r="AM15" s="757">
        <f t="shared" si="14"/>
        <v>96.829183137739363</v>
      </c>
      <c r="AN15" s="757">
        <f t="shared" si="15"/>
        <v>621.60572151999997</v>
      </c>
      <c r="AO15" s="757">
        <f t="shared" si="16"/>
        <v>0</v>
      </c>
      <c r="AP15" s="757">
        <f t="shared" si="17"/>
        <v>346.64159108473814</v>
      </c>
      <c r="AQ15" s="757">
        <f t="shared" si="18"/>
        <v>15013.616894660026</v>
      </c>
      <c r="AS15" s="779">
        <v>2023</v>
      </c>
      <c r="AT15" s="757">
        <f t="shared" si="19"/>
        <v>19966.032674332731</v>
      </c>
      <c r="AU15" s="757">
        <f t="shared" si="20"/>
        <v>519.00920796043476</v>
      </c>
      <c r="AV15" s="757">
        <f t="shared" si="21"/>
        <v>142.20483400247065</v>
      </c>
      <c r="AW15" s="757">
        <f t="shared" si="22"/>
        <v>431.11290392000001</v>
      </c>
      <c r="AX15" s="757">
        <f t="shared" si="23"/>
        <v>4030.4760000000006</v>
      </c>
      <c r="AY15" s="757">
        <f t="shared" si="24"/>
        <v>599.91923819303543</v>
      </c>
      <c r="AZ15" s="757">
        <f t="shared" si="25"/>
        <v>25688.754858408673</v>
      </c>
      <c r="BB15" s="757">
        <v>3766.8</v>
      </c>
      <c r="BD15" s="757">
        <v>989.32974799999988</v>
      </c>
    </row>
    <row r="16" spans="1:56">
      <c r="B16" s="623">
        <v>2024</v>
      </c>
      <c r="C16" s="29">
        <v>15236.067114790927</v>
      </c>
      <c r="D16" s="29">
        <v>25889.037921391635</v>
      </c>
      <c r="E16" s="29">
        <f t="shared" si="0"/>
        <v>41125.105036182562</v>
      </c>
      <c r="F16" s="29">
        <f t="shared" si="1"/>
        <v>862.41889329005608</v>
      </c>
      <c r="G16" s="29">
        <f t="shared" si="2"/>
        <v>1693.6753780349682</v>
      </c>
      <c r="H16" s="615">
        <v>14373.648221500871</v>
      </c>
      <c r="I16" s="615">
        <v>24195.362543356667</v>
      </c>
      <c r="J16" s="615">
        <f t="shared" si="3"/>
        <v>38569.010764857536</v>
      </c>
      <c r="L16" s="11">
        <v>2024</v>
      </c>
      <c r="M16" s="695">
        <v>13612.090658011344</v>
      </c>
      <c r="N16" s="695">
        <v>19988.061511420816</v>
      </c>
      <c r="O16" s="695">
        <v>385.07755614216319</v>
      </c>
      <c r="P16" s="695">
        <v>565.4497954953855</v>
      </c>
      <c r="Q16" s="695">
        <v>123.71869558588091</v>
      </c>
      <c r="R16" s="695">
        <v>181.6691469085919</v>
      </c>
      <c r="S16" s="695">
        <v>740.46951688000001</v>
      </c>
      <c r="T16" s="695">
        <v>540.24101836</v>
      </c>
      <c r="U16" s="695">
        <v>0</v>
      </c>
      <c r="V16" s="695">
        <v>4030.4760000000006</v>
      </c>
      <c r="W16" s="695">
        <f>('Store varmepumper'!J18+Elpatroner!D17)*1.06</f>
        <v>374.71068817153645</v>
      </c>
      <c r="X16" s="695">
        <f>('Store varmepumper'!S18+Elpatroner!G17)*1.07</f>
        <v>583.14044920684285</v>
      </c>
      <c r="Y16" s="695">
        <f t="shared" si="4"/>
        <v>15236.067114790927</v>
      </c>
      <c r="Z16" s="126">
        <f t="shared" si="5"/>
        <v>25889.037921391635</v>
      </c>
      <c r="AA16" s="4"/>
      <c r="AB16" s="83">
        <f t="shared" si="6"/>
        <v>33600.152169432156</v>
      </c>
      <c r="AC16" s="83">
        <f t="shared" si="7"/>
        <v>950.52735163754869</v>
      </c>
      <c r="AD16" s="83">
        <f t="shared" si="8"/>
        <v>305.38784249447281</v>
      </c>
      <c r="AE16" s="83">
        <f t="shared" si="9"/>
        <v>1280.7105352399999</v>
      </c>
      <c r="AF16" s="83">
        <f t="shared" si="10"/>
        <v>4030.4760000000006</v>
      </c>
      <c r="AG16" s="83">
        <f t="shared" si="11"/>
        <v>957.85113737837924</v>
      </c>
      <c r="AH16">
        <v>38097.782005095069</v>
      </c>
      <c r="AJ16" s="779">
        <v>2024</v>
      </c>
      <c r="AK16" s="757">
        <f t="shared" si="12"/>
        <v>13612.090658011344</v>
      </c>
      <c r="AL16" s="757">
        <f t="shared" si="13"/>
        <v>385.07755614216319</v>
      </c>
      <c r="AM16" s="757">
        <f t="shared" si="14"/>
        <v>123.71869558588091</v>
      </c>
      <c r="AN16" s="757">
        <f t="shared" si="15"/>
        <v>740.46951688000001</v>
      </c>
      <c r="AO16" s="757">
        <f t="shared" si="16"/>
        <v>0</v>
      </c>
      <c r="AP16" s="757">
        <f t="shared" si="17"/>
        <v>374.71068817153645</v>
      </c>
      <c r="AQ16" s="757">
        <f t="shared" si="18"/>
        <v>15236.067114790927</v>
      </c>
      <c r="AS16" s="779">
        <v>2024</v>
      </c>
      <c r="AT16" s="757">
        <f t="shared" si="19"/>
        <v>19988.061511420816</v>
      </c>
      <c r="AU16" s="757">
        <f t="shared" si="20"/>
        <v>565.4497954953855</v>
      </c>
      <c r="AV16" s="757">
        <f t="shared" si="21"/>
        <v>181.6691469085919</v>
      </c>
      <c r="AW16" s="757">
        <f t="shared" si="22"/>
        <v>540.24101836</v>
      </c>
      <c r="AX16" s="757">
        <f t="shared" si="23"/>
        <v>4030.4760000000006</v>
      </c>
      <c r="AY16" s="757">
        <f t="shared" si="24"/>
        <v>583.14044920684285</v>
      </c>
      <c r="AZ16" s="757">
        <f t="shared" si="25"/>
        <v>25889.037921391635</v>
      </c>
      <c r="BB16" s="757">
        <v>3766.8</v>
      </c>
      <c r="BD16" s="757">
        <v>1203.4542959999999</v>
      </c>
    </row>
    <row r="17" spans="1:56">
      <c r="B17" s="623">
        <v>2025</v>
      </c>
      <c r="C17" s="29">
        <v>15366.149771750072</v>
      </c>
      <c r="D17" s="29">
        <v>26108.654376148039</v>
      </c>
      <c r="E17" s="29">
        <f t="shared" si="0"/>
        <v>41474.80414789811</v>
      </c>
      <c r="F17" s="29">
        <f t="shared" si="1"/>
        <v>869.7820625518907</v>
      </c>
      <c r="G17" s="29">
        <f t="shared" si="2"/>
        <v>1708.0428096545547</v>
      </c>
      <c r="H17" s="615">
        <v>14496.367709198181</v>
      </c>
      <c r="I17" s="615">
        <v>24400.611566493484</v>
      </c>
      <c r="J17" s="615">
        <f t="shared" si="3"/>
        <v>38896.979275691665</v>
      </c>
      <c r="L17" s="11">
        <v>2025</v>
      </c>
      <c r="M17" s="695">
        <v>13625.788910898627</v>
      </c>
      <c r="N17" s="695">
        <v>20002.845118992376</v>
      </c>
      <c r="O17" s="695">
        <v>418.12915411043298</v>
      </c>
      <c r="P17" s="695">
        <v>613.8193365608721</v>
      </c>
      <c r="Q17" s="695">
        <v>150.62376577998197</v>
      </c>
      <c r="R17" s="695">
        <v>221.1177552975654</v>
      </c>
      <c r="S17" s="695">
        <v>795.84236927999996</v>
      </c>
      <c r="T17" s="695">
        <v>599.45933375999994</v>
      </c>
      <c r="U17" s="695">
        <v>0</v>
      </c>
      <c r="V17" s="695">
        <v>4030.4760000000006</v>
      </c>
      <c r="W17" s="695">
        <f>('Store varmepumper'!J19+Elpatroner!D18)*1.06</f>
        <v>375.76557168102886</v>
      </c>
      <c r="X17" s="695">
        <f>('Store varmepumper'!S19+Elpatroner!G18)*1.07</f>
        <v>640.93683153722213</v>
      </c>
      <c r="Y17" s="695">
        <f t="shared" si="4"/>
        <v>15366.149771750072</v>
      </c>
      <c r="Z17" s="126">
        <f t="shared" si="5"/>
        <v>26108.654376148032</v>
      </c>
      <c r="AA17" s="4"/>
      <c r="AB17" s="83">
        <f t="shared" si="6"/>
        <v>33628.634029891007</v>
      </c>
      <c r="AC17" s="83">
        <f t="shared" si="7"/>
        <v>1031.9484906713051</v>
      </c>
      <c r="AD17" s="83">
        <f t="shared" si="8"/>
        <v>371.74152107754736</v>
      </c>
      <c r="AE17" s="83">
        <f t="shared" si="9"/>
        <v>1395.3017030399999</v>
      </c>
      <c r="AF17" s="83">
        <f t="shared" si="10"/>
        <v>4030.4760000000006</v>
      </c>
      <c r="AG17" s="83">
        <f t="shared" si="11"/>
        <v>1016.702403218251</v>
      </c>
      <c r="AH17">
        <v>38740.816860439314</v>
      </c>
      <c r="AJ17" s="779">
        <v>2025</v>
      </c>
      <c r="AK17" s="757">
        <f t="shared" si="12"/>
        <v>13625.788910898627</v>
      </c>
      <c r="AL17" s="757">
        <f t="shared" si="13"/>
        <v>418.12915411043298</v>
      </c>
      <c r="AM17" s="757">
        <f t="shared" si="14"/>
        <v>150.62376577998197</v>
      </c>
      <c r="AN17" s="757">
        <f t="shared" si="15"/>
        <v>795.84236927999996</v>
      </c>
      <c r="AO17" s="757">
        <f t="shared" si="16"/>
        <v>0</v>
      </c>
      <c r="AP17" s="757">
        <f t="shared" si="17"/>
        <v>375.76557168102886</v>
      </c>
      <c r="AQ17" s="757">
        <f t="shared" si="18"/>
        <v>15366.149771750072</v>
      </c>
      <c r="AS17" s="779">
        <v>2025</v>
      </c>
      <c r="AT17" s="757">
        <f t="shared" si="19"/>
        <v>20002.845118992376</v>
      </c>
      <c r="AU17" s="757">
        <f t="shared" si="20"/>
        <v>613.8193365608721</v>
      </c>
      <c r="AV17" s="757">
        <f t="shared" si="21"/>
        <v>221.1177552975654</v>
      </c>
      <c r="AW17" s="757">
        <f t="shared" si="22"/>
        <v>599.45933375999994</v>
      </c>
      <c r="AX17" s="757">
        <f t="shared" si="23"/>
        <v>4030.4760000000006</v>
      </c>
      <c r="AY17" s="757">
        <f t="shared" si="24"/>
        <v>640.93683153722213</v>
      </c>
      <c r="AZ17" s="757">
        <f t="shared" si="25"/>
        <v>26108.654376148032</v>
      </c>
      <c r="BB17" s="757">
        <v>3766.8</v>
      </c>
      <c r="BD17" s="757">
        <v>1311.0370559999999</v>
      </c>
    </row>
    <row r="18" spans="1:56">
      <c r="B18" s="623">
        <v>2026</v>
      </c>
      <c r="C18" s="29">
        <v>15541.390892146652</v>
      </c>
      <c r="D18" s="29">
        <v>26490.286601021988</v>
      </c>
      <c r="E18" s="29">
        <f t="shared" si="0"/>
        <v>42031.677493168638</v>
      </c>
      <c r="F18" s="29">
        <f t="shared" si="1"/>
        <v>879.70137125358815</v>
      </c>
      <c r="G18" s="29">
        <f t="shared" si="2"/>
        <v>1733.0094038051793</v>
      </c>
      <c r="H18" s="615">
        <v>14661.689520893064</v>
      </c>
      <c r="I18" s="615">
        <v>24757.277197216808</v>
      </c>
      <c r="J18" s="615">
        <f t="shared" si="3"/>
        <v>39418.96671810987</v>
      </c>
      <c r="L18" s="6">
        <v>2026</v>
      </c>
      <c r="M18" s="695">
        <v>13623.321190983632</v>
      </c>
      <c r="N18" s="695">
        <v>19999.222472290632</v>
      </c>
      <c r="O18" s="695">
        <v>452.38459402775499</v>
      </c>
      <c r="P18" s="695">
        <v>664.10679247478822</v>
      </c>
      <c r="Q18" s="695">
        <v>177.50929816651637</v>
      </c>
      <c r="R18" s="695">
        <v>260.5860858130448</v>
      </c>
      <c r="S18" s="695">
        <v>846.45972671999994</v>
      </c>
      <c r="T18" s="695">
        <v>654.62471600000003</v>
      </c>
      <c r="U18" s="695">
        <v>0</v>
      </c>
      <c r="V18" s="695">
        <v>4030.4760000000006</v>
      </c>
      <c r="W18" s="695">
        <f>('Store varmepumper'!J20+Elpatroner!D19)*1.06</f>
        <v>441.71608224874763</v>
      </c>
      <c r="X18" s="695">
        <f>('Store varmepumper'!S20+Elpatroner!G19)*1.07</f>
        <v>881.27053444352453</v>
      </c>
      <c r="Y18" s="695">
        <f t="shared" si="4"/>
        <v>15541.390892146652</v>
      </c>
      <c r="Z18" s="126">
        <f t="shared" si="5"/>
        <v>26490.286601021988</v>
      </c>
      <c r="AA18" s="4"/>
      <c r="AB18" s="83">
        <f t="shared" si="6"/>
        <v>33622.543663274264</v>
      </c>
      <c r="AC18" s="83">
        <f t="shared" si="7"/>
        <v>1116.4913865025433</v>
      </c>
      <c r="AD18" s="83">
        <f t="shared" si="8"/>
        <v>438.09538397956118</v>
      </c>
      <c r="AE18" s="83">
        <f t="shared" si="9"/>
        <v>1501.08444272</v>
      </c>
      <c r="AF18" s="83">
        <f t="shared" si="10"/>
        <v>4030.4760000000006</v>
      </c>
      <c r="AG18" s="83">
        <f t="shared" si="11"/>
        <v>1322.986616692272</v>
      </c>
      <c r="AH18">
        <v>39451.196924792559</v>
      </c>
      <c r="AJ18" s="779">
        <v>2026</v>
      </c>
      <c r="AK18" s="757">
        <f t="shared" si="12"/>
        <v>13623.321190983632</v>
      </c>
      <c r="AL18" s="757">
        <f t="shared" si="13"/>
        <v>452.38459402775499</v>
      </c>
      <c r="AM18" s="757">
        <f t="shared" si="14"/>
        <v>177.50929816651637</v>
      </c>
      <c r="AN18" s="757">
        <f t="shared" si="15"/>
        <v>846.45972671999994</v>
      </c>
      <c r="AO18" s="757">
        <f t="shared" si="16"/>
        <v>0</v>
      </c>
      <c r="AP18" s="757">
        <f t="shared" si="17"/>
        <v>441.71608224874763</v>
      </c>
      <c r="AQ18" s="757">
        <f t="shared" si="18"/>
        <v>15541.390892146652</v>
      </c>
      <c r="AS18" s="779">
        <v>2026</v>
      </c>
      <c r="AT18" s="757">
        <f t="shared" si="19"/>
        <v>19999.222472290632</v>
      </c>
      <c r="AU18" s="757">
        <f t="shared" si="20"/>
        <v>664.10679247478822</v>
      </c>
      <c r="AV18" s="757">
        <f t="shared" si="21"/>
        <v>260.5860858130448</v>
      </c>
      <c r="AW18" s="757">
        <f t="shared" si="22"/>
        <v>654.62471600000003</v>
      </c>
      <c r="AX18" s="757">
        <f t="shared" si="23"/>
        <v>4030.4760000000006</v>
      </c>
      <c r="AY18" s="757">
        <f t="shared" si="24"/>
        <v>881.27053444352453</v>
      </c>
      <c r="AZ18" s="757">
        <f t="shared" si="25"/>
        <v>26490.286601021988</v>
      </c>
      <c r="BB18" s="757">
        <v>3766.8</v>
      </c>
      <c r="BD18" s="757">
        <v>1410.3457119999998</v>
      </c>
    </row>
    <row r="19" spans="1:56">
      <c r="B19" s="623">
        <v>2027</v>
      </c>
      <c r="C19" s="29">
        <v>15675.493071220759</v>
      </c>
      <c r="D19" s="29">
        <v>26753.352213875824</v>
      </c>
      <c r="E19" s="29">
        <f t="shared" si="0"/>
        <v>42428.845285096584</v>
      </c>
      <c r="F19" s="29">
        <f t="shared" si="1"/>
        <v>887.29206063513811</v>
      </c>
      <c r="G19" s="29">
        <f t="shared" si="2"/>
        <v>1750.2193037115067</v>
      </c>
      <c r="H19" s="615">
        <v>14788.201010585621</v>
      </c>
      <c r="I19" s="615">
        <v>25003.132910164317</v>
      </c>
      <c r="J19" s="615">
        <f t="shared" si="3"/>
        <v>39791.333920749938</v>
      </c>
      <c r="L19" s="6">
        <v>2027</v>
      </c>
      <c r="M19" s="695">
        <v>13629.641434045539</v>
      </c>
      <c r="N19" s="695">
        <v>20008.500675843352</v>
      </c>
      <c r="O19" s="695">
        <v>487.62984755719401</v>
      </c>
      <c r="P19" s="695">
        <v>715.84730835531002</v>
      </c>
      <c r="Q19" s="695">
        <v>204.39483055305081</v>
      </c>
      <c r="R19" s="695">
        <v>300.05441632852421</v>
      </c>
      <c r="S19" s="695">
        <v>887.60339776000012</v>
      </c>
      <c r="T19" s="695">
        <v>678.14515640000002</v>
      </c>
      <c r="U19" s="695">
        <v>0</v>
      </c>
      <c r="V19" s="695">
        <v>4030.4760000000006</v>
      </c>
      <c r="W19" s="695">
        <f>('Store varmepumper'!J21+Elpatroner!D20)*1.06</f>
        <v>466.22356130497508</v>
      </c>
      <c r="X19" s="695">
        <f>('Store varmepumper'!S21+Elpatroner!G20)*1.07</f>
        <v>1020.328656948632</v>
      </c>
      <c r="Y19" s="695">
        <f t="shared" si="4"/>
        <v>15675.493071220759</v>
      </c>
      <c r="Z19" s="126">
        <f t="shared" si="5"/>
        <v>26753.352213875824</v>
      </c>
      <c r="AA19" s="4"/>
      <c r="AB19" s="83">
        <f t="shared" si="6"/>
        <v>33638.14210988889</v>
      </c>
      <c r="AC19" s="83">
        <f t="shared" si="7"/>
        <v>1203.477155912504</v>
      </c>
      <c r="AD19" s="83">
        <f t="shared" si="8"/>
        <v>504.44924688157505</v>
      </c>
      <c r="AE19" s="83">
        <f t="shared" si="9"/>
        <v>1565.7485541600001</v>
      </c>
      <c r="AF19" s="83">
        <f t="shared" si="10"/>
        <v>4030.4760000000006</v>
      </c>
      <c r="AG19" s="83">
        <f t="shared" si="11"/>
        <v>1486.552218253607</v>
      </c>
      <c r="AH19">
        <v>40028.404328384</v>
      </c>
      <c r="AJ19" s="779">
        <v>2027</v>
      </c>
      <c r="AK19" s="757">
        <f t="shared" si="12"/>
        <v>13629.641434045539</v>
      </c>
      <c r="AL19" s="757">
        <f t="shared" si="13"/>
        <v>487.62984755719401</v>
      </c>
      <c r="AM19" s="757">
        <f t="shared" si="14"/>
        <v>204.39483055305081</v>
      </c>
      <c r="AN19" s="757">
        <f t="shared" si="15"/>
        <v>887.60339776000012</v>
      </c>
      <c r="AO19" s="757">
        <f t="shared" si="16"/>
        <v>0</v>
      </c>
      <c r="AP19" s="757">
        <f t="shared" si="17"/>
        <v>466.22356130497508</v>
      </c>
      <c r="AQ19" s="757">
        <f t="shared" si="18"/>
        <v>15675.493071220759</v>
      </c>
      <c r="AS19" s="779">
        <v>2027</v>
      </c>
      <c r="AT19" s="757">
        <f t="shared" si="19"/>
        <v>20008.500675843352</v>
      </c>
      <c r="AU19" s="757">
        <f t="shared" si="20"/>
        <v>715.84730835531002</v>
      </c>
      <c r="AV19" s="757">
        <f t="shared" si="21"/>
        <v>300.05441632852421</v>
      </c>
      <c r="AW19" s="757">
        <f t="shared" si="22"/>
        <v>678.14515640000002</v>
      </c>
      <c r="AX19" s="757">
        <f t="shared" si="23"/>
        <v>4030.4760000000006</v>
      </c>
      <c r="AY19" s="757">
        <f t="shared" si="24"/>
        <v>1020.328656948632</v>
      </c>
      <c r="AZ19" s="757">
        <f t="shared" si="25"/>
        <v>26753.352213875824</v>
      </c>
      <c r="BB19" s="757">
        <v>3766.8</v>
      </c>
      <c r="BD19" s="757">
        <v>1471.1422160000002</v>
      </c>
    </row>
    <row r="20" spans="1:56">
      <c r="B20" s="623">
        <v>2028</v>
      </c>
      <c r="C20" s="29">
        <v>15815.667572067628</v>
      </c>
      <c r="D20" s="29">
        <v>26916.009091345779</v>
      </c>
      <c r="E20" s="29">
        <f t="shared" si="0"/>
        <v>42731.676663413411</v>
      </c>
      <c r="F20" s="29">
        <f t="shared" si="1"/>
        <v>895.22646634345074</v>
      </c>
      <c r="G20" s="29">
        <f t="shared" si="2"/>
        <v>1760.8604078450517</v>
      </c>
      <c r="H20" s="615">
        <v>14920.441105724178</v>
      </c>
      <c r="I20" s="615">
        <v>25155.148683500727</v>
      </c>
      <c r="J20" s="615">
        <f t="shared" si="3"/>
        <v>40075.589789224905</v>
      </c>
      <c r="L20" s="6">
        <v>2028</v>
      </c>
      <c r="M20" s="695">
        <v>13620.698385284943</v>
      </c>
      <c r="N20" s="695">
        <v>19995.372157530059</v>
      </c>
      <c r="O20" s="695">
        <v>524.02855130454464</v>
      </c>
      <c r="P20" s="695">
        <v>769.28110498546232</v>
      </c>
      <c r="Q20" s="695">
        <v>231.28036293958519</v>
      </c>
      <c r="R20" s="695">
        <v>339.52274684400362</v>
      </c>
      <c r="S20" s="695">
        <v>928.74706879999997</v>
      </c>
      <c r="T20" s="695">
        <v>685.49151960000006</v>
      </c>
      <c r="U20" s="695">
        <v>0</v>
      </c>
      <c r="V20" s="695">
        <v>4030.4760000000006</v>
      </c>
      <c r="W20" s="695">
        <f>('Store varmepumper'!J22+Elpatroner!D21)*1.06</f>
        <v>510.91320373855791</v>
      </c>
      <c r="X20" s="695">
        <f>('Store varmepumper'!S22+Elpatroner!G21)*1.07</f>
        <v>1095.8655623862539</v>
      </c>
      <c r="Y20" s="695">
        <f t="shared" si="4"/>
        <v>15815.667572067628</v>
      </c>
      <c r="Z20" s="126">
        <f t="shared" si="5"/>
        <v>26916.009091345779</v>
      </c>
      <c r="AA20" s="4"/>
      <c r="AB20" s="83">
        <f t="shared" si="6"/>
        <v>33616.070542815003</v>
      </c>
      <c r="AC20" s="83">
        <f t="shared" si="7"/>
        <v>1293.3096562900068</v>
      </c>
      <c r="AD20" s="83">
        <f t="shared" si="8"/>
        <v>570.80310978358875</v>
      </c>
      <c r="AE20" s="83">
        <f t="shared" si="9"/>
        <v>1614.2385884</v>
      </c>
      <c r="AF20" s="83">
        <f t="shared" si="10"/>
        <v>4030.4760000000006</v>
      </c>
      <c r="AG20" s="83">
        <f t="shared" si="11"/>
        <v>1606.7787661248119</v>
      </c>
      <c r="AH20">
        <v>40371.644893136159</v>
      </c>
      <c r="AJ20" s="779">
        <v>2028</v>
      </c>
      <c r="AK20" s="757">
        <f t="shared" si="12"/>
        <v>13620.698385284943</v>
      </c>
      <c r="AL20" s="757">
        <f t="shared" si="13"/>
        <v>524.02855130454464</v>
      </c>
      <c r="AM20" s="757">
        <f t="shared" si="14"/>
        <v>231.28036293958519</v>
      </c>
      <c r="AN20" s="757">
        <f t="shared" si="15"/>
        <v>928.74706879999997</v>
      </c>
      <c r="AO20" s="757">
        <f t="shared" si="16"/>
        <v>0</v>
      </c>
      <c r="AP20" s="757">
        <f t="shared" si="17"/>
        <v>510.91320373855791</v>
      </c>
      <c r="AQ20" s="757">
        <f t="shared" si="18"/>
        <v>15815.667572067628</v>
      </c>
      <c r="AS20" s="779">
        <v>2028</v>
      </c>
      <c r="AT20" s="757">
        <f t="shared" si="19"/>
        <v>19995.372157530059</v>
      </c>
      <c r="AU20" s="757">
        <f t="shared" si="20"/>
        <v>769.28110498546232</v>
      </c>
      <c r="AV20" s="757">
        <f t="shared" si="21"/>
        <v>339.52274684400362</v>
      </c>
      <c r="AW20" s="757">
        <f t="shared" si="22"/>
        <v>685.49151960000006</v>
      </c>
      <c r="AX20" s="757">
        <f t="shared" si="23"/>
        <v>4030.4760000000006</v>
      </c>
      <c r="AY20" s="757">
        <f t="shared" si="24"/>
        <v>1095.8655623862539</v>
      </c>
      <c r="AZ20" s="757">
        <f t="shared" si="25"/>
        <v>26916.009091345779</v>
      </c>
      <c r="BB20" s="757">
        <v>3766.8</v>
      </c>
      <c r="BD20" s="757">
        <v>1516.82276</v>
      </c>
    </row>
    <row r="21" spans="1:56">
      <c r="B21" s="623">
        <v>2029</v>
      </c>
      <c r="C21" s="29">
        <v>15901.214600300787</v>
      </c>
      <c r="D21" s="29">
        <v>27078.921519131789</v>
      </c>
      <c r="E21" s="29">
        <f t="shared" si="0"/>
        <v>42980.136119432573</v>
      </c>
      <c r="F21" s="29">
        <f t="shared" si="1"/>
        <v>900.06875096042313</v>
      </c>
      <c r="G21" s="29">
        <f t="shared" si="2"/>
        <v>1771.5182302235735</v>
      </c>
      <c r="H21" s="615">
        <v>15001.145849340364</v>
      </c>
      <c r="I21" s="615">
        <v>25307.403288908215</v>
      </c>
      <c r="J21" s="615">
        <f t="shared" si="3"/>
        <v>40308.549138248578</v>
      </c>
      <c r="L21" s="6">
        <v>2029</v>
      </c>
      <c r="M21" s="695">
        <v>13614.897666085051</v>
      </c>
      <c r="N21" s="695">
        <v>19986.856622136624</v>
      </c>
      <c r="O21" s="695">
        <v>561.29246245878664</v>
      </c>
      <c r="P21" s="695">
        <v>823.98503796287685</v>
      </c>
      <c r="Q21" s="695">
        <v>258.1658953261196</v>
      </c>
      <c r="R21" s="695">
        <v>378.99107735948303</v>
      </c>
      <c r="S21" s="695">
        <v>928.74706880000008</v>
      </c>
      <c r="T21" s="695">
        <v>692.83788279999999</v>
      </c>
      <c r="U21" s="695">
        <v>0</v>
      </c>
      <c r="V21" s="695">
        <v>4030.4760000000006</v>
      </c>
      <c r="W21" s="695">
        <f>('Store varmepumper'!J23+Elpatroner!D22)*1.06</f>
        <v>538.11150763083094</v>
      </c>
      <c r="X21" s="695">
        <f>('Store varmepumper'!S23+Elpatroner!G22)*1.07</f>
        <v>1165.7748988728088</v>
      </c>
      <c r="Y21" s="695">
        <f t="shared" si="4"/>
        <v>15901.214600300787</v>
      </c>
      <c r="Z21" s="126">
        <f t="shared" si="5"/>
        <v>27078.921519131789</v>
      </c>
      <c r="AA21" s="4"/>
      <c r="AB21" s="83">
        <f t="shared" si="6"/>
        <v>33601.754288221673</v>
      </c>
      <c r="AC21" s="83">
        <f t="shared" si="7"/>
        <v>1385.2775004216635</v>
      </c>
      <c r="AD21" s="83">
        <f t="shared" si="8"/>
        <v>637.15697268560257</v>
      </c>
      <c r="AE21" s="83">
        <f t="shared" si="9"/>
        <v>1621.5849516000001</v>
      </c>
      <c r="AF21" s="83">
        <f t="shared" si="10"/>
        <v>4030.4760000000006</v>
      </c>
      <c r="AG21" s="83">
        <f t="shared" si="11"/>
        <v>1703.8864065036396</v>
      </c>
      <c r="AH21">
        <v>40634.869148591126</v>
      </c>
      <c r="AJ21" s="779">
        <v>2029</v>
      </c>
      <c r="AK21" s="757">
        <f t="shared" si="12"/>
        <v>13614.897666085051</v>
      </c>
      <c r="AL21" s="757">
        <f t="shared" si="13"/>
        <v>561.29246245878664</v>
      </c>
      <c r="AM21" s="757">
        <f t="shared" si="14"/>
        <v>258.1658953261196</v>
      </c>
      <c r="AN21" s="757">
        <f t="shared" si="15"/>
        <v>928.74706880000008</v>
      </c>
      <c r="AO21" s="757">
        <f t="shared" si="16"/>
        <v>0</v>
      </c>
      <c r="AP21" s="757">
        <f t="shared" si="17"/>
        <v>538.11150763083094</v>
      </c>
      <c r="AQ21" s="757">
        <f t="shared" si="18"/>
        <v>15901.214600300787</v>
      </c>
      <c r="AS21" s="779">
        <v>2029</v>
      </c>
      <c r="AT21" s="757">
        <f t="shared" si="19"/>
        <v>19986.856622136624</v>
      </c>
      <c r="AU21" s="757">
        <f t="shared" si="20"/>
        <v>823.98503796287685</v>
      </c>
      <c r="AV21" s="757">
        <f t="shared" si="21"/>
        <v>378.99107735948303</v>
      </c>
      <c r="AW21" s="757">
        <f t="shared" si="22"/>
        <v>692.83788279999999</v>
      </c>
      <c r="AX21" s="757">
        <f t="shared" si="23"/>
        <v>4030.4760000000006</v>
      </c>
      <c r="AY21" s="757">
        <f t="shared" si="24"/>
        <v>1165.7748988728088</v>
      </c>
      <c r="AZ21" s="757">
        <f t="shared" si="25"/>
        <v>27078.921519131789</v>
      </c>
      <c r="BB21" s="757">
        <v>3766.8</v>
      </c>
      <c r="BD21" s="757">
        <v>1523.6885200000002</v>
      </c>
    </row>
    <row r="22" spans="1:56">
      <c r="B22" s="623">
        <v>2030</v>
      </c>
      <c r="C22" s="29">
        <v>16009.955798165989</v>
      </c>
      <c r="D22" s="29">
        <v>27551.12799875336</v>
      </c>
      <c r="E22" s="29">
        <f t="shared" si="0"/>
        <v>43561.083796919353</v>
      </c>
      <c r="F22" s="29">
        <f t="shared" si="1"/>
        <v>906.22391310373496</v>
      </c>
      <c r="G22" s="29">
        <f t="shared" si="2"/>
        <v>1802.4102429090999</v>
      </c>
      <c r="H22" s="615">
        <v>15103.731885062254</v>
      </c>
      <c r="I22" s="615">
        <v>25748.71775584426</v>
      </c>
      <c r="J22" s="615">
        <f t="shared" si="3"/>
        <v>40852.449640906518</v>
      </c>
      <c r="L22" s="6">
        <v>2030</v>
      </c>
      <c r="M22" s="695">
        <v>13637.840849346538</v>
      </c>
      <c r="N22" s="695">
        <v>20020.537530032467</v>
      </c>
      <c r="O22" s="695">
        <v>598.22645694437836</v>
      </c>
      <c r="P22" s="695">
        <v>878.20464874299762</v>
      </c>
      <c r="Q22" s="695">
        <v>285.051427712654</v>
      </c>
      <c r="R22" s="695">
        <v>418.45940787496249</v>
      </c>
      <c r="S22" s="695">
        <v>928.74706880000008</v>
      </c>
      <c r="T22" s="695">
        <v>696.436464</v>
      </c>
      <c r="U22" s="695">
        <v>0</v>
      </c>
      <c r="V22" s="695">
        <v>4030.4760000000006</v>
      </c>
      <c r="W22" s="695">
        <f>('Store varmepumper'!J24+Elpatroner!D23)*1.06</f>
        <v>560.08999536242106</v>
      </c>
      <c r="X22" s="695">
        <f>('Store varmepumper'!S24+Elpatroner!G23)*1.07</f>
        <v>1507.0139481029373</v>
      </c>
      <c r="Y22" s="695">
        <f t="shared" si="4"/>
        <v>16009.955798165989</v>
      </c>
      <c r="Z22" s="126">
        <f t="shared" si="5"/>
        <v>27551.12799875336</v>
      </c>
      <c r="AA22" s="4"/>
      <c r="AB22" s="83">
        <f t="shared" si="6"/>
        <v>33658.378379379006</v>
      </c>
      <c r="AC22" s="83">
        <f t="shared" si="7"/>
        <v>1476.431105687376</v>
      </c>
      <c r="AD22" s="83">
        <f t="shared" si="8"/>
        <v>703.5108355876165</v>
      </c>
      <c r="AE22" s="83">
        <f t="shared" si="9"/>
        <v>1625.1835328000002</v>
      </c>
      <c r="AF22" s="83">
        <f t="shared" si="10"/>
        <v>4030.4760000000006</v>
      </c>
      <c r="AG22" s="83">
        <f t="shared" si="11"/>
        <v>2067.1039434653585</v>
      </c>
      <c r="AH22">
        <v>41180.176775339656</v>
      </c>
      <c r="AJ22" s="779">
        <v>2030</v>
      </c>
      <c r="AK22" s="757">
        <f t="shared" si="12"/>
        <v>13637.840849346538</v>
      </c>
      <c r="AL22" s="757">
        <f t="shared" si="13"/>
        <v>598.22645694437836</v>
      </c>
      <c r="AM22" s="757">
        <f t="shared" si="14"/>
        <v>285.051427712654</v>
      </c>
      <c r="AN22" s="757">
        <f t="shared" si="15"/>
        <v>928.74706880000008</v>
      </c>
      <c r="AO22" s="757">
        <f t="shared" si="16"/>
        <v>0</v>
      </c>
      <c r="AP22" s="757">
        <f t="shared" si="17"/>
        <v>560.08999536242106</v>
      </c>
      <c r="AQ22" s="757">
        <f t="shared" si="18"/>
        <v>16009.955798165989</v>
      </c>
      <c r="AS22" s="779">
        <v>2030</v>
      </c>
      <c r="AT22" s="757">
        <f t="shared" si="19"/>
        <v>20020.537530032467</v>
      </c>
      <c r="AU22" s="757">
        <f t="shared" si="20"/>
        <v>878.20464874299762</v>
      </c>
      <c r="AV22" s="757">
        <f t="shared" si="21"/>
        <v>418.45940787496249</v>
      </c>
      <c r="AW22" s="757">
        <f t="shared" si="22"/>
        <v>696.436464</v>
      </c>
      <c r="AX22" s="757">
        <f t="shared" si="23"/>
        <v>4030.4760000000006</v>
      </c>
      <c r="AY22" s="757">
        <f t="shared" si="24"/>
        <v>1507.0139481029373</v>
      </c>
      <c r="AZ22" s="757">
        <f t="shared" si="25"/>
        <v>27551.12799875336</v>
      </c>
      <c r="BB22" s="757">
        <v>3766.8</v>
      </c>
      <c r="BD22" s="757">
        <v>1527.05168</v>
      </c>
    </row>
    <row r="23" spans="1:56">
      <c r="B23" s="11">
        <v>2031</v>
      </c>
      <c r="C23" s="29">
        <v>16106.084970129537</v>
      </c>
      <c r="D23" s="29">
        <v>27734.096742788326</v>
      </c>
      <c r="E23" s="29">
        <f t="shared" si="0"/>
        <v>43840.181712917867</v>
      </c>
      <c r="F23" s="29">
        <f t="shared" si="1"/>
        <v>911.66518698846448</v>
      </c>
      <c r="G23" s="29">
        <f t="shared" si="2"/>
        <v>1814.3801607431633</v>
      </c>
      <c r="H23" s="615">
        <v>15194.419783141073</v>
      </c>
      <c r="I23" s="615">
        <v>25919.716582045163</v>
      </c>
      <c r="J23" s="615">
        <f t="shared" si="3"/>
        <v>41114.136365186234</v>
      </c>
      <c r="L23" s="11">
        <v>2031</v>
      </c>
      <c r="M23" s="695">
        <v>13629.027489472583</v>
      </c>
      <c r="N23" s="695">
        <v>20007.59939678459</v>
      </c>
      <c r="O23" s="695">
        <v>636.61760959577612</v>
      </c>
      <c r="P23" s="695">
        <v>934.56338770828927</v>
      </c>
      <c r="Q23" s="695">
        <v>331.69620679290654</v>
      </c>
      <c r="R23" s="695">
        <v>486.93458370904722</v>
      </c>
      <c r="S23" s="695">
        <v>928.74706880000008</v>
      </c>
      <c r="T23" s="695">
        <v>696.436464</v>
      </c>
      <c r="U23" s="695">
        <v>0</v>
      </c>
      <c r="V23" s="695">
        <v>4030.4760000000006</v>
      </c>
      <c r="W23" s="695">
        <f>('Store varmepumper'!J25+Elpatroner!D24)*1.06</f>
        <v>579.99659546827161</v>
      </c>
      <c r="X23" s="695">
        <f>('Store varmepumper'!S25+Elpatroner!G24)*1.07</f>
        <v>1578.086910586401</v>
      </c>
      <c r="Y23" s="695">
        <f t="shared" si="4"/>
        <v>16106.084970129537</v>
      </c>
      <c r="Z23" s="126">
        <f t="shared" si="5"/>
        <v>27734.096742788326</v>
      </c>
      <c r="AA23" s="4"/>
      <c r="AB23" s="83">
        <f t="shared" si="6"/>
        <v>33636.626886257174</v>
      </c>
      <c r="AC23" s="83">
        <f t="shared" si="7"/>
        <v>1571.1809973040654</v>
      </c>
      <c r="AD23" s="83">
        <f t="shared" si="8"/>
        <v>818.6307905019537</v>
      </c>
      <c r="AE23" s="83">
        <f t="shared" si="9"/>
        <v>1625.1835328000002</v>
      </c>
      <c r="AF23" s="83">
        <f t="shared" si="10"/>
        <v>4030.4760000000006</v>
      </c>
      <c r="AG23" s="83">
        <f t="shared" si="11"/>
        <v>2158.0835060546724</v>
      </c>
      <c r="AH23">
        <v>41435.79096477032</v>
      </c>
      <c r="AJ23" s="779">
        <v>2031</v>
      </c>
      <c r="AK23" s="757">
        <f t="shared" si="12"/>
        <v>13629.027489472583</v>
      </c>
      <c r="AL23" s="757">
        <f t="shared" si="13"/>
        <v>636.61760959577612</v>
      </c>
      <c r="AM23" s="757">
        <f t="shared" si="14"/>
        <v>331.69620679290654</v>
      </c>
      <c r="AN23" s="757">
        <f t="shared" si="15"/>
        <v>928.74706880000008</v>
      </c>
      <c r="AO23" s="757">
        <f t="shared" si="16"/>
        <v>0</v>
      </c>
      <c r="AP23" s="757">
        <f t="shared" si="17"/>
        <v>579.99659546827161</v>
      </c>
      <c r="AQ23" s="757">
        <f t="shared" si="18"/>
        <v>16106.084970129537</v>
      </c>
      <c r="AS23" s="779">
        <v>2031</v>
      </c>
      <c r="AT23" s="757">
        <f t="shared" si="19"/>
        <v>20007.59939678459</v>
      </c>
      <c r="AU23" s="757">
        <f t="shared" si="20"/>
        <v>934.56338770828927</v>
      </c>
      <c r="AV23" s="757">
        <f t="shared" si="21"/>
        <v>486.93458370904722</v>
      </c>
      <c r="AW23" s="757">
        <f t="shared" si="22"/>
        <v>696.436464</v>
      </c>
      <c r="AX23" s="757">
        <f t="shared" si="23"/>
        <v>4030.4760000000006</v>
      </c>
      <c r="AY23" s="757">
        <f t="shared" si="24"/>
        <v>1578.086910586401</v>
      </c>
      <c r="AZ23" s="757">
        <f t="shared" si="25"/>
        <v>27734.096742788326</v>
      </c>
      <c r="BB23" s="757">
        <v>3766.8</v>
      </c>
      <c r="BD23" s="757">
        <v>1527.05168</v>
      </c>
    </row>
    <row r="24" spans="1:56">
      <c r="B24" s="11">
        <v>2032</v>
      </c>
      <c r="C24" s="29">
        <v>16213.121057342898</v>
      </c>
      <c r="D24" s="29">
        <v>27937.242133019427</v>
      </c>
      <c r="E24" s="29">
        <f t="shared" si="0"/>
        <v>44150.363190362325</v>
      </c>
      <c r="F24" s="29">
        <f t="shared" si="1"/>
        <v>917.72383343450383</v>
      </c>
      <c r="G24" s="29">
        <f t="shared" si="2"/>
        <v>1827.6700460853863</v>
      </c>
      <c r="H24" s="615">
        <v>15295.397223908394</v>
      </c>
      <c r="I24" s="615">
        <v>26109.57208693404</v>
      </c>
      <c r="J24" s="615">
        <f t="shared" si="3"/>
        <v>41404.969310842433</v>
      </c>
      <c r="L24" s="11">
        <v>2032</v>
      </c>
      <c r="M24" s="695">
        <v>13624.538117718321</v>
      </c>
      <c r="N24" s="695">
        <v>20001.008937438033</v>
      </c>
      <c r="O24" s="695">
        <v>678.14571804383786</v>
      </c>
      <c r="P24" s="695">
        <v>995.52722083408173</v>
      </c>
      <c r="Q24" s="695">
        <v>378.34098587315901</v>
      </c>
      <c r="R24" s="695">
        <v>555.40975954313194</v>
      </c>
      <c r="S24" s="695">
        <v>928.74706880000008</v>
      </c>
      <c r="T24" s="695">
        <v>696.436464</v>
      </c>
      <c r="U24" s="695">
        <v>0</v>
      </c>
      <c r="V24" s="695">
        <v>4030.4760000000006</v>
      </c>
      <c r="W24" s="695">
        <f>('Store varmepumper'!J26+Elpatroner!D25)*1.06</f>
        <v>603.34916690758018</v>
      </c>
      <c r="X24" s="695">
        <f>('Store varmepumper'!S26+Elpatroner!G25)*1.07</f>
        <v>1658.383751204178</v>
      </c>
      <c r="Y24" s="695">
        <f t="shared" si="4"/>
        <v>16213.121057342898</v>
      </c>
      <c r="Z24" s="126">
        <f t="shared" si="5"/>
        <v>27937.242133019427</v>
      </c>
      <c r="AA24" s="4"/>
      <c r="AB24" s="83">
        <f t="shared" si="6"/>
        <v>33625.547055156356</v>
      </c>
      <c r="AC24" s="83">
        <f t="shared" si="7"/>
        <v>1673.6729388779195</v>
      </c>
      <c r="AD24" s="83">
        <f t="shared" si="8"/>
        <v>933.75074541629101</v>
      </c>
      <c r="AE24" s="83">
        <f t="shared" si="9"/>
        <v>1625.1835328000002</v>
      </c>
      <c r="AF24" s="83">
        <f t="shared" si="10"/>
        <v>4030.4760000000006</v>
      </c>
      <c r="AG24" s="83">
        <f t="shared" si="11"/>
        <v>2261.7329181117584</v>
      </c>
      <c r="AH24">
        <v>41723.553084568834</v>
      </c>
      <c r="AJ24" s="779">
        <v>2032</v>
      </c>
      <c r="AK24" s="757">
        <f t="shared" si="12"/>
        <v>13624.538117718321</v>
      </c>
      <c r="AL24" s="757">
        <f t="shared" si="13"/>
        <v>678.14571804383786</v>
      </c>
      <c r="AM24" s="757">
        <f t="shared" si="14"/>
        <v>378.34098587315901</v>
      </c>
      <c r="AN24" s="757">
        <f t="shared" si="15"/>
        <v>928.74706880000008</v>
      </c>
      <c r="AO24" s="757">
        <f t="shared" si="16"/>
        <v>0</v>
      </c>
      <c r="AP24" s="757">
        <f t="shared" si="17"/>
        <v>603.34916690758018</v>
      </c>
      <c r="AQ24" s="757">
        <f t="shared" si="18"/>
        <v>16213.121057342898</v>
      </c>
      <c r="AS24" s="779">
        <v>2032</v>
      </c>
      <c r="AT24" s="757">
        <f t="shared" si="19"/>
        <v>20001.008937438033</v>
      </c>
      <c r="AU24" s="757">
        <f t="shared" si="20"/>
        <v>995.52722083408173</v>
      </c>
      <c r="AV24" s="757">
        <f t="shared" si="21"/>
        <v>555.40975954313194</v>
      </c>
      <c r="AW24" s="757">
        <f t="shared" si="22"/>
        <v>696.436464</v>
      </c>
      <c r="AX24" s="757">
        <f t="shared" si="23"/>
        <v>4030.4760000000006</v>
      </c>
      <c r="AY24" s="757">
        <f t="shared" si="24"/>
        <v>1658.383751204178</v>
      </c>
      <c r="AZ24" s="757">
        <f t="shared" si="25"/>
        <v>27937.242133019427</v>
      </c>
      <c r="BB24" s="757">
        <v>3766.8</v>
      </c>
      <c r="BD24" s="757">
        <v>1527.05168</v>
      </c>
    </row>
    <row r="25" spans="1:56">
      <c r="B25" s="11">
        <v>2033</v>
      </c>
      <c r="C25" s="29">
        <v>16280.202403615309</v>
      </c>
      <c r="D25" s="29">
        <v>28056.563700949253</v>
      </c>
      <c r="E25" s="29">
        <f t="shared" si="0"/>
        <v>44336.766104564565</v>
      </c>
      <c r="F25" s="29">
        <f t="shared" si="1"/>
        <v>921.52089077067467</v>
      </c>
      <c r="G25" s="29">
        <f t="shared" si="2"/>
        <v>1835.476129968647</v>
      </c>
      <c r="H25" s="615">
        <v>15358.681512844634</v>
      </c>
      <c r="I25" s="615">
        <v>26221.087570980606</v>
      </c>
      <c r="J25" s="615">
        <f t="shared" si="3"/>
        <v>41579.769083825238</v>
      </c>
      <c r="L25" s="11">
        <v>2033</v>
      </c>
      <c r="M25" s="695">
        <v>13601.412204932414</v>
      </c>
      <c r="N25" s="695">
        <v>19967.059780092593</v>
      </c>
      <c r="O25" s="695">
        <v>720.21174402978147</v>
      </c>
      <c r="P25" s="695">
        <v>1057.280724287765</v>
      </c>
      <c r="Q25" s="695">
        <v>424.98576495341149</v>
      </c>
      <c r="R25" s="695">
        <v>623.88493537721672</v>
      </c>
      <c r="S25" s="695">
        <v>928.74706880000008</v>
      </c>
      <c r="T25" s="695">
        <v>696.436464</v>
      </c>
      <c r="U25" s="695">
        <v>0</v>
      </c>
      <c r="V25" s="695">
        <v>4030.4760000000006</v>
      </c>
      <c r="W25" s="695">
        <f>('Store varmepumper'!J27+Elpatroner!D26)*1.06</f>
        <v>604.84562089970393</v>
      </c>
      <c r="X25" s="695">
        <f>('Store varmepumper'!S27+Elpatroner!G26)*1.07</f>
        <v>1681.425797191677</v>
      </c>
      <c r="Y25" s="695">
        <f t="shared" si="4"/>
        <v>16280.202403615309</v>
      </c>
      <c r="Z25" s="126">
        <f t="shared" si="5"/>
        <v>28056.563700949253</v>
      </c>
      <c r="AA25" s="4"/>
      <c r="AB25" s="83">
        <f t="shared" si="6"/>
        <v>33568.471985025011</v>
      </c>
      <c r="AC25" s="83">
        <f t="shared" si="7"/>
        <v>1777.4924683175464</v>
      </c>
      <c r="AD25" s="83">
        <f t="shared" si="8"/>
        <v>1048.8707003306281</v>
      </c>
      <c r="AE25" s="83">
        <f t="shared" si="9"/>
        <v>1625.1835328000002</v>
      </c>
      <c r="AF25" s="83">
        <f t="shared" si="10"/>
        <v>4030.4760000000006</v>
      </c>
      <c r="AG25" s="83">
        <f t="shared" si="11"/>
        <v>2286.2714180913808</v>
      </c>
      <c r="AH25">
        <v>41898.391117281564</v>
      </c>
      <c r="AJ25" s="779">
        <v>2033</v>
      </c>
      <c r="AK25" s="757">
        <f t="shared" si="12"/>
        <v>13601.412204932414</v>
      </c>
      <c r="AL25" s="757">
        <f t="shared" si="13"/>
        <v>720.21174402978147</v>
      </c>
      <c r="AM25" s="757">
        <f t="shared" si="14"/>
        <v>424.98576495341149</v>
      </c>
      <c r="AN25" s="757">
        <f t="shared" si="15"/>
        <v>928.74706880000008</v>
      </c>
      <c r="AO25" s="757">
        <f t="shared" si="16"/>
        <v>0</v>
      </c>
      <c r="AP25" s="757">
        <f t="shared" si="17"/>
        <v>604.84562089970393</v>
      </c>
      <c r="AQ25" s="757">
        <f t="shared" si="18"/>
        <v>16280.202403615309</v>
      </c>
      <c r="AS25" s="779">
        <v>2033</v>
      </c>
      <c r="AT25" s="757">
        <f t="shared" si="19"/>
        <v>19967.059780092593</v>
      </c>
      <c r="AU25" s="757">
        <f t="shared" si="20"/>
        <v>1057.280724287765</v>
      </c>
      <c r="AV25" s="757">
        <f t="shared" si="21"/>
        <v>623.88493537721672</v>
      </c>
      <c r="AW25" s="757">
        <f t="shared" si="22"/>
        <v>696.436464</v>
      </c>
      <c r="AX25" s="757">
        <f t="shared" si="23"/>
        <v>4030.4760000000006</v>
      </c>
      <c r="AY25" s="757">
        <f t="shared" si="24"/>
        <v>1681.425797191677</v>
      </c>
      <c r="AZ25" s="757">
        <f t="shared" si="25"/>
        <v>28056.563700949253</v>
      </c>
      <c r="BB25" s="757">
        <v>3766.8</v>
      </c>
      <c r="BD25" s="757">
        <v>1527.05168</v>
      </c>
    </row>
    <row r="26" spans="1:56">
      <c r="B26" s="11">
        <v>2034</v>
      </c>
      <c r="C26" s="29">
        <v>16342.004605788792</v>
      </c>
      <c r="D26" s="29">
        <v>28180.725705216799</v>
      </c>
      <c r="E26" s="29">
        <f t="shared" si="0"/>
        <v>44522.730311005595</v>
      </c>
      <c r="F26" s="29">
        <f t="shared" si="1"/>
        <v>925.01912862955578</v>
      </c>
      <c r="G26" s="29">
        <f t="shared" si="2"/>
        <v>1843.5988779113832</v>
      </c>
      <c r="H26" s="615">
        <v>15416.985477159236</v>
      </c>
      <c r="I26" s="615">
        <v>26337.126827305416</v>
      </c>
      <c r="J26" s="615">
        <f t="shared" si="3"/>
        <v>41754.112304464652</v>
      </c>
      <c r="L26" s="11">
        <v>2034</v>
      </c>
      <c r="M26" s="695">
        <v>13574.500855026368</v>
      </c>
      <c r="N26" s="695">
        <v>19927.553549104152</v>
      </c>
      <c r="O26" s="695">
        <v>747.30174531067416</v>
      </c>
      <c r="P26" s="695">
        <v>1097.0492179462556</v>
      </c>
      <c r="Q26" s="695">
        <v>471.63054403366397</v>
      </c>
      <c r="R26" s="695">
        <v>692.36011121130161</v>
      </c>
      <c r="S26" s="695">
        <v>928.74706880000008</v>
      </c>
      <c r="T26" s="695">
        <v>696.436464</v>
      </c>
      <c r="U26" s="695">
        <v>0</v>
      </c>
      <c r="V26" s="695">
        <v>4030.4760000000006</v>
      </c>
      <c r="W26" s="695">
        <f>('Store varmepumper'!J28+Elpatroner!D27)*1.06</f>
        <v>619.82439261808656</v>
      </c>
      <c r="X26" s="695">
        <f>('Store varmepumper'!S28+Elpatroner!G27)*1.07</f>
        <v>1736.8503629550889</v>
      </c>
      <c r="Y26" s="695">
        <f t="shared" si="4"/>
        <v>16342.004605788792</v>
      </c>
      <c r="Z26" s="126">
        <f t="shared" si="5"/>
        <v>28180.725705216799</v>
      </c>
      <c r="AA26" s="4"/>
      <c r="AB26" s="83">
        <f t="shared" si="6"/>
        <v>33502.054404130518</v>
      </c>
      <c r="AC26" s="83">
        <f t="shared" si="7"/>
        <v>1844.3509632569298</v>
      </c>
      <c r="AD26" s="83">
        <f t="shared" si="8"/>
        <v>1163.9906552449656</v>
      </c>
      <c r="AE26" s="83">
        <f t="shared" si="9"/>
        <v>1625.1835328000002</v>
      </c>
      <c r="AF26" s="83">
        <f t="shared" si="10"/>
        <v>4030.4760000000006</v>
      </c>
      <c r="AG26" s="83">
        <f t="shared" si="11"/>
        <v>2356.6747555731754</v>
      </c>
      <c r="AH26" s="613">
        <v>42151.560013483439</v>
      </c>
      <c r="AJ26" s="779">
        <v>2034</v>
      </c>
      <c r="AK26" s="757">
        <f t="shared" si="12"/>
        <v>13574.500855026368</v>
      </c>
      <c r="AL26" s="757">
        <f t="shared" si="13"/>
        <v>747.30174531067416</v>
      </c>
      <c r="AM26" s="757">
        <f t="shared" si="14"/>
        <v>471.63054403366397</v>
      </c>
      <c r="AN26" s="757">
        <f t="shared" si="15"/>
        <v>928.74706880000008</v>
      </c>
      <c r="AO26" s="757">
        <f t="shared" si="16"/>
        <v>0</v>
      </c>
      <c r="AP26" s="757">
        <f t="shared" si="17"/>
        <v>619.82439261808656</v>
      </c>
      <c r="AQ26" s="757">
        <f t="shared" si="18"/>
        <v>16342.004605788792</v>
      </c>
      <c r="AS26" s="779">
        <v>2034</v>
      </c>
      <c r="AT26" s="757">
        <f t="shared" si="19"/>
        <v>19927.553549104152</v>
      </c>
      <c r="AU26" s="757">
        <f t="shared" si="20"/>
        <v>1097.0492179462556</v>
      </c>
      <c r="AV26" s="757">
        <f t="shared" si="21"/>
        <v>692.36011121130161</v>
      </c>
      <c r="AW26" s="757">
        <f t="shared" si="22"/>
        <v>696.436464</v>
      </c>
      <c r="AX26" s="757">
        <f t="shared" si="23"/>
        <v>4030.4760000000006</v>
      </c>
      <c r="AY26" s="757">
        <f t="shared" si="24"/>
        <v>1736.8503629550889</v>
      </c>
      <c r="AZ26" s="757">
        <f t="shared" si="25"/>
        <v>28180.725705216799</v>
      </c>
      <c r="BB26" s="757">
        <v>3766.8</v>
      </c>
      <c r="BD26" s="757">
        <v>1527.05168</v>
      </c>
    </row>
    <row r="27" spans="1:56" s="613" customFormat="1">
      <c r="A27"/>
      <c r="B27" s="11">
        <v>2035</v>
      </c>
      <c r="C27" s="29">
        <v>16434.012402282879</v>
      </c>
      <c r="D27" s="29">
        <v>28309.630954703465</v>
      </c>
      <c r="E27" s="29">
        <f t="shared" si="0"/>
        <v>44743.643356986344</v>
      </c>
      <c r="F27" s="29">
        <f t="shared" si="1"/>
        <v>930.22711711034935</v>
      </c>
      <c r="G27" s="29">
        <f t="shared" si="2"/>
        <v>1852.0319316161185</v>
      </c>
      <c r="H27" s="615">
        <v>15503.785285172529</v>
      </c>
      <c r="I27" s="615">
        <v>26457.599023087347</v>
      </c>
      <c r="J27" s="615">
        <f t="shared" si="3"/>
        <v>41961.384308259876</v>
      </c>
      <c r="L27" s="11">
        <v>2035</v>
      </c>
      <c r="M27" s="695">
        <v>13587.468687661396</v>
      </c>
      <c r="N27" s="695">
        <v>19946.590505380504</v>
      </c>
      <c r="O27" s="695">
        <v>773.25025454230729</v>
      </c>
      <c r="P27" s="695">
        <v>1135.1419856108084</v>
      </c>
      <c r="Q27" s="695">
        <v>518.27532311391644</v>
      </c>
      <c r="R27" s="695">
        <v>760.83528704538628</v>
      </c>
      <c r="S27" s="695">
        <v>928.74706880000008</v>
      </c>
      <c r="T27" s="695">
        <v>696.436464</v>
      </c>
      <c r="U27" s="695">
        <v>0</v>
      </c>
      <c r="V27" s="695">
        <v>4030.4760000000006</v>
      </c>
      <c r="W27" s="695">
        <f>('Store varmepumper'!J29+Elpatroner!D28)*1.06</f>
        <v>626.27106816525952</v>
      </c>
      <c r="X27" s="695">
        <f>('Store varmepumper'!S29+Elpatroner!G28)*1.07</f>
        <v>1740.1507126667684</v>
      </c>
      <c r="Y27" s="695">
        <f t="shared" si="4"/>
        <v>16434.012402282879</v>
      </c>
      <c r="Z27" s="126">
        <f t="shared" si="5"/>
        <v>28309.630954703465</v>
      </c>
      <c r="AA27" s="4"/>
      <c r="AB27" s="83">
        <f t="shared" si="6"/>
        <v>33534.059193041903</v>
      </c>
      <c r="AC27" s="83">
        <f t="shared" si="7"/>
        <v>1908.3922401531158</v>
      </c>
      <c r="AD27" s="83">
        <f t="shared" si="8"/>
        <v>1279.1106101593027</v>
      </c>
      <c r="AE27" s="83">
        <f t="shared" si="9"/>
        <v>1625.1835328000002</v>
      </c>
      <c r="AF27" s="83">
        <f t="shared" si="10"/>
        <v>4030.4760000000006</v>
      </c>
      <c r="AG27" s="83">
        <f t="shared" si="11"/>
        <v>2366.4217808320282</v>
      </c>
      <c r="AH27" s="613">
        <v>42472.394480405375</v>
      </c>
      <c r="AJ27" s="779">
        <v>2035</v>
      </c>
      <c r="AK27" s="757">
        <f t="shared" si="12"/>
        <v>13587.468687661396</v>
      </c>
      <c r="AL27" s="757">
        <f t="shared" si="13"/>
        <v>773.25025454230729</v>
      </c>
      <c r="AM27" s="757">
        <f t="shared" si="14"/>
        <v>518.27532311391644</v>
      </c>
      <c r="AN27" s="757">
        <f t="shared" si="15"/>
        <v>928.74706880000008</v>
      </c>
      <c r="AO27" s="757">
        <f t="shared" si="16"/>
        <v>0</v>
      </c>
      <c r="AP27" s="757">
        <f t="shared" si="17"/>
        <v>626.27106816525952</v>
      </c>
      <c r="AQ27" s="757">
        <f t="shared" si="18"/>
        <v>16434.012402282879</v>
      </c>
      <c r="AS27" s="779">
        <v>2035</v>
      </c>
      <c r="AT27" s="757">
        <f t="shared" si="19"/>
        <v>19946.590505380504</v>
      </c>
      <c r="AU27" s="757">
        <f t="shared" si="20"/>
        <v>1135.1419856108084</v>
      </c>
      <c r="AV27" s="757">
        <f t="shared" si="21"/>
        <v>760.83528704538628</v>
      </c>
      <c r="AW27" s="757">
        <f t="shared" si="22"/>
        <v>696.436464</v>
      </c>
      <c r="AX27" s="757">
        <f t="shared" si="23"/>
        <v>4030.4760000000006</v>
      </c>
      <c r="AY27" s="757">
        <f t="shared" si="24"/>
        <v>1740.1507126667684</v>
      </c>
      <c r="AZ27" s="757">
        <f t="shared" si="25"/>
        <v>28309.630954703465</v>
      </c>
      <c r="BB27" s="757">
        <v>3766.8</v>
      </c>
      <c r="BD27" s="757">
        <v>1527.05168</v>
      </c>
    </row>
    <row r="28" spans="1:56" s="613" customFormat="1">
      <c r="A28"/>
      <c r="B28" s="11">
        <v>2036</v>
      </c>
      <c r="C28" s="29">
        <v>16546.912824514664</v>
      </c>
      <c r="D28" s="29">
        <v>28482.078338873325</v>
      </c>
      <c r="E28" s="29">
        <f t="shared" si="0"/>
        <v>45028.991163387989</v>
      </c>
      <c r="F28" s="29">
        <f t="shared" si="1"/>
        <v>936.61770704800074</v>
      </c>
      <c r="G28" s="29">
        <f t="shared" si="2"/>
        <v>1863.3135361879758</v>
      </c>
      <c r="H28" s="615">
        <v>15610.295117466663</v>
      </c>
      <c r="I28" s="615">
        <v>26618.764802685349</v>
      </c>
      <c r="J28" s="615">
        <f t="shared" si="3"/>
        <v>42229.059920152009</v>
      </c>
      <c r="L28" s="11">
        <v>2036</v>
      </c>
      <c r="M28" s="695">
        <v>13570.148895700646</v>
      </c>
      <c r="N28" s="695">
        <v>19921.164813088515</v>
      </c>
      <c r="O28" s="695">
        <v>799.2404708662466</v>
      </c>
      <c r="P28" s="695">
        <v>1173.2959798592472</v>
      </c>
      <c r="Q28" s="695">
        <v>608.97350465885188</v>
      </c>
      <c r="R28" s="695">
        <v>893.98146227832888</v>
      </c>
      <c r="S28" s="695">
        <v>928.74706880000008</v>
      </c>
      <c r="T28" s="695">
        <v>696.436464</v>
      </c>
      <c r="U28" s="695">
        <v>0</v>
      </c>
      <c r="V28" s="695">
        <v>4030.4760000000006</v>
      </c>
      <c r="W28" s="695">
        <f>('Store varmepumper'!J30+Elpatroner!D29)*1.06</f>
        <v>639.80288448892077</v>
      </c>
      <c r="X28" s="695">
        <f>('Store varmepumper'!S30+Elpatroner!G29)*1.07</f>
        <v>1766.7236196472359</v>
      </c>
      <c r="Y28" s="695">
        <f t="shared" si="4"/>
        <v>16546.912824514664</v>
      </c>
      <c r="Z28" s="126">
        <f t="shared" si="5"/>
        <v>28482.078338873325</v>
      </c>
      <c r="AA28" s="4"/>
      <c r="AB28" s="83">
        <f t="shared" si="6"/>
        <v>33491.313708789159</v>
      </c>
      <c r="AC28" s="83">
        <f t="shared" si="7"/>
        <v>1972.5364507254938</v>
      </c>
      <c r="AD28" s="83">
        <f t="shared" si="8"/>
        <v>1502.9549669371809</v>
      </c>
      <c r="AE28" s="83">
        <f t="shared" si="9"/>
        <v>1625.1835328000002</v>
      </c>
      <c r="AF28" s="83">
        <f t="shared" si="10"/>
        <v>4030.4760000000006</v>
      </c>
      <c r="AG28" s="83">
        <f t="shared" si="11"/>
        <v>2406.5265041361567</v>
      </c>
      <c r="AJ28" s="779">
        <v>2036</v>
      </c>
      <c r="AK28" s="757">
        <f t="shared" si="12"/>
        <v>13570.148895700646</v>
      </c>
      <c r="AL28" s="757">
        <f t="shared" si="13"/>
        <v>799.2404708662466</v>
      </c>
      <c r="AM28" s="757">
        <f t="shared" si="14"/>
        <v>608.97350465885188</v>
      </c>
      <c r="AN28" s="757">
        <f t="shared" si="15"/>
        <v>928.74706880000008</v>
      </c>
      <c r="AO28" s="757">
        <f t="shared" si="16"/>
        <v>0</v>
      </c>
      <c r="AP28" s="757">
        <f t="shared" si="17"/>
        <v>639.80288448892077</v>
      </c>
      <c r="AQ28" s="757">
        <f t="shared" si="18"/>
        <v>16546.912824514664</v>
      </c>
      <c r="AS28" s="779">
        <v>2036</v>
      </c>
      <c r="AT28" s="757">
        <f t="shared" si="19"/>
        <v>19921.164813088515</v>
      </c>
      <c r="AU28" s="757">
        <f t="shared" si="20"/>
        <v>1173.2959798592472</v>
      </c>
      <c r="AV28" s="757">
        <f t="shared" si="21"/>
        <v>893.98146227832888</v>
      </c>
      <c r="AW28" s="757">
        <f t="shared" si="22"/>
        <v>696.436464</v>
      </c>
      <c r="AX28" s="757">
        <f t="shared" si="23"/>
        <v>4030.4760000000006</v>
      </c>
      <c r="AY28" s="757">
        <f t="shared" si="24"/>
        <v>1766.7236196472359</v>
      </c>
      <c r="AZ28" s="757">
        <f t="shared" si="25"/>
        <v>28482.078338873325</v>
      </c>
      <c r="BB28" s="757">
        <v>3766.8</v>
      </c>
      <c r="BD28" s="757">
        <v>1527.05168</v>
      </c>
    </row>
    <row r="29" spans="1:56" s="613" customFormat="1">
      <c r="A29"/>
      <c r="B29" s="11">
        <v>2037</v>
      </c>
      <c r="C29" s="29">
        <v>16656.063704979293</v>
      </c>
      <c r="D29" s="29">
        <v>28723.439007095083</v>
      </c>
      <c r="E29" s="29">
        <f t="shared" si="0"/>
        <v>45379.502712074376</v>
      </c>
      <c r="F29" s="29">
        <f t="shared" si="1"/>
        <v>942.79605877241374</v>
      </c>
      <c r="G29" s="29">
        <f t="shared" si="2"/>
        <v>1879.1034864454778</v>
      </c>
      <c r="H29" s="615">
        <v>15713.267646206879</v>
      </c>
      <c r="I29" s="615">
        <v>26844.335520649605</v>
      </c>
      <c r="J29" s="615">
        <f t="shared" si="3"/>
        <v>42557.603166856483</v>
      </c>
      <c r="L29" s="11">
        <v>2037</v>
      </c>
      <c r="M29" s="695">
        <v>13566.034971559622</v>
      </c>
      <c r="N29" s="695">
        <v>19915.125515990763</v>
      </c>
      <c r="O29" s="695">
        <v>824.83220368861998</v>
      </c>
      <c r="P29" s="695">
        <v>1210.8649948586735</v>
      </c>
      <c r="Q29" s="695">
        <v>699.6716862037872</v>
      </c>
      <c r="R29" s="695">
        <v>1027.1276375112716</v>
      </c>
      <c r="S29" s="695">
        <v>928.74706880000008</v>
      </c>
      <c r="T29" s="695">
        <v>696.436464</v>
      </c>
      <c r="U29" s="695">
        <v>0</v>
      </c>
      <c r="V29" s="695">
        <v>4030.4760000000006</v>
      </c>
      <c r="W29" s="695">
        <f>('Store varmepumper'!J31+Elpatroner!D30)*1.06</f>
        <v>636.77777472726439</v>
      </c>
      <c r="X29" s="695">
        <f>('Store varmepumper'!S31+Elpatroner!G30)*1.07</f>
        <v>1843.4083947343756</v>
      </c>
      <c r="Y29" s="695">
        <f t="shared" si="4"/>
        <v>16656.063704979293</v>
      </c>
      <c r="Z29" s="126">
        <f t="shared" si="5"/>
        <v>28723.439007095083</v>
      </c>
      <c r="AA29" s="4"/>
      <c r="AB29" s="83">
        <f t="shared" si="6"/>
        <v>33481.160487550384</v>
      </c>
      <c r="AC29" s="83">
        <f t="shared" si="7"/>
        <v>2035.6971985472935</v>
      </c>
      <c r="AD29" s="83">
        <f t="shared" si="8"/>
        <v>1726.7993237150588</v>
      </c>
      <c r="AE29" s="83">
        <f t="shared" si="9"/>
        <v>1625.1835328000002</v>
      </c>
      <c r="AF29" s="83">
        <f t="shared" si="10"/>
        <v>4030.4760000000006</v>
      </c>
      <c r="AG29" s="83">
        <f t="shared" si="11"/>
        <v>2480.18616946164</v>
      </c>
      <c r="AJ29" s="779">
        <v>2037</v>
      </c>
      <c r="AK29" s="757">
        <f t="shared" si="12"/>
        <v>13566.034971559622</v>
      </c>
      <c r="AL29" s="757">
        <f t="shared" si="13"/>
        <v>824.83220368861998</v>
      </c>
      <c r="AM29" s="757">
        <f t="shared" si="14"/>
        <v>699.6716862037872</v>
      </c>
      <c r="AN29" s="757">
        <f t="shared" si="15"/>
        <v>928.74706880000008</v>
      </c>
      <c r="AO29" s="757">
        <f t="shared" si="16"/>
        <v>0</v>
      </c>
      <c r="AP29" s="757">
        <f t="shared" si="17"/>
        <v>636.77777472726439</v>
      </c>
      <c r="AQ29" s="757">
        <f t="shared" si="18"/>
        <v>16656.063704979293</v>
      </c>
      <c r="AS29" s="779">
        <v>2037</v>
      </c>
      <c r="AT29" s="757">
        <f t="shared" si="19"/>
        <v>19915.125515990763</v>
      </c>
      <c r="AU29" s="757">
        <f t="shared" si="20"/>
        <v>1210.8649948586735</v>
      </c>
      <c r="AV29" s="757">
        <f t="shared" si="21"/>
        <v>1027.1276375112716</v>
      </c>
      <c r="AW29" s="757">
        <f t="shared" si="22"/>
        <v>696.436464</v>
      </c>
      <c r="AX29" s="757">
        <f t="shared" si="23"/>
        <v>4030.4760000000006</v>
      </c>
      <c r="AY29" s="757">
        <f t="shared" si="24"/>
        <v>1843.4083947343756</v>
      </c>
      <c r="AZ29" s="757">
        <f t="shared" si="25"/>
        <v>28723.439007095083</v>
      </c>
      <c r="BB29" s="757">
        <v>3766.8</v>
      </c>
      <c r="BD29" s="757">
        <v>1527.05168</v>
      </c>
    </row>
    <row r="30" spans="1:56" s="613" customFormat="1">
      <c r="A30"/>
      <c r="B30" s="11">
        <v>2038</v>
      </c>
      <c r="C30" s="29">
        <v>16767.383643789552</v>
      </c>
      <c r="D30" s="29">
        <v>28926.713450398922</v>
      </c>
      <c r="E30" s="29">
        <f t="shared" si="0"/>
        <v>45694.097094188473</v>
      </c>
      <c r="F30" s="29">
        <f t="shared" si="1"/>
        <v>949.09718738431548</v>
      </c>
      <c r="G30" s="29">
        <f t="shared" si="2"/>
        <v>1892.401814512079</v>
      </c>
      <c r="H30" s="615">
        <v>15818.286456405236</v>
      </c>
      <c r="I30" s="615">
        <v>27034.311635886843</v>
      </c>
      <c r="J30" s="615">
        <f t="shared" si="3"/>
        <v>42852.598092292079</v>
      </c>
      <c r="L30" s="11">
        <v>2038</v>
      </c>
      <c r="M30" s="695">
        <v>13558.573809058484</v>
      </c>
      <c r="N30" s="695">
        <v>19904.172427043482</v>
      </c>
      <c r="O30" s="695">
        <v>849.98943562717511</v>
      </c>
      <c r="P30" s="695">
        <v>1247.7961565976454</v>
      </c>
      <c r="Q30" s="695">
        <v>790.36986774872253</v>
      </c>
      <c r="R30" s="695">
        <v>1160.2738127442142</v>
      </c>
      <c r="S30" s="695">
        <v>928.74706880000008</v>
      </c>
      <c r="T30" s="695">
        <v>696.436464</v>
      </c>
      <c r="U30" s="695">
        <v>0</v>
      </c>
      <c r="V30" s="695">
        <v>4030.4760000000006</v>
      </c>
      <c r="W30" s="695">
        <f>('Store varmepumper'!J32+Elpatroner!D31)*1.06</f>
        <v>639.70346255516961</v>
      </c>
      <c r="X30" s="695">
        <f>('Store varmepumper'!S32+Elpatroner!G31)*1.07</f>
        <v>1887.5585900135859</v>
      </c>
      <c r="Y30" s="695">
        <f t="shared" si="4"/>
        <v>16767.383643789552</v>
      </c>
      <c r="Z30" s="126">
        <f t="shared" si="5"/>
        <v>28926.713450398922</v>
      </c>
      <c r="AA30" s="4"/>
      <c r="AB30" s="83">
        <f t="shared" si="6"/>
        <v>33462.746236101964</v>
      </c>
      <c r="AC30" s="83">
        <f t="shared" si="7"/>
        <v>2097.7855922248204</v>
      </c>
      <c r="AD30" s="83">
        <f t="shared" si="8"/>
        <v>1950.6436804929367</v>
      </c>
      <c r="AE30" s="83">
        <f t="shared" si="9"/>
        <v>1625.1835328000002</v>
      </c>
      <c r="AF30" s="83">
        <f t="shared" si="10"/>
        <v>4030.4760000000006</v>
      </c>
      <c r="AG30" s="83">
        <f t="shared" si="11"/>
        <v>2527.2620525687553</v>
      </c>
      <c r="AJ30" s="779">
        <v>2038</v>
      </c>
      <c r="AK30" s="757">
        <f t="shared" si="12"/>
        <v>13558.573809058484</v>
      </c>
      <c r="AL30" s="757">
        <f t="shared" si="13"/>
        <v>849.98943562717511</v>
      </c>
      <c r="AM30" s="757">
        <f t="shared" si="14"/>
        <v>790.36986774872253</v>
      </c>
      <c r="AN30" s="757">
        <f t="shared" si="15"/>
        <v>928.74706880000008</v>
      </c>
      <c r="AO30" s="757">
        <f t="shared" si="16"/>
        <v>0</v>
      </c>
      <c r="AP30" s="757">
        <f t="shared" si="17"/>
        <v>639.70346255516961</v>
      </c>
      <c r="AQ30" s="757">
        <f t="shared" si="18"/>
        <v>16767.383643789552</v>
      </c>
      <c r="AS30" s="779">
        <v>2038</v>
      </c>
      <c r="AT30" s="757">
        <f t="shared" si="19"/>
        <v>19904.172427043482</v>
      </c>
      <c r="AU30" s="757">
        <f t="shared" si="20"/>
        <v>1247.7961565976454</v>
      </c>
      <c r="AV30" s="757">
        <f t="shared" si="21"/>
        <v>1160.2738127442142</v>
      </c>
      <c r="AW30" s="757">
        <f t="shared" si="22"/>
        <v>696.436464</v>
      </c>
      <c r="AX30" s="757">
        <f t="shared" si="23"/>
        <v>4030.4760000000006</v>
      </c>
      <c r="AY30" s="757">
        <f t="shared" si="24"/>
        <v>1887.5585900135859</v>
      </c>
      <c r="AZ30" s="757">
        <f t="shared" si="25"/>
        <v>28926.713450398922</v>
      </c>
      <c r="BB30" s="757">
        <v>3766.8</v>
      </c>
      <c r="BD30" s="757">
        <v>1527.05168</v>
      </c>
    </row>
    <row r="31" spans="1:56" s="613" customFormat="1">
      <c r="A31"/>
      <c r="B31" s="11">
        <v>2039</v>
      </c>
      <c r="C31" s="29">
        <v>16951.498934147108</v>
      </c>
      <c r="D31" s="29">
        <v>29100.885905864401</v>
      </c>
      <c r="E31" s="29">
        <f t="shared" si="0"/>
        <v>46052.384840011509</v>
      </c>
      <c r="F31" s="29">
        <f t="shared" si="1"/>
        <v>959.51880759323285</v>
      </c>
      <c r="G31" s="29">
        <f t="shared" si="2"/>
        <v>1903.7962742154341</v>
      </c>
      <c r="H31" s="615">
        <v>15991.980126553875</v>
      </c>
      <c r="I31" s="615">
        <v>27197.089631648967</v>
      </c>
      <c r="J31" s="615">
        <f t="shared" si="3"/>
        <v>43189.069758202844</v>
      </c>
      <c r="L31" s="11">
        <v>2039</v>
      </c>
      <c r="M31" s="695">
        <v>13552.450640235063</v>
      </c>
      <c r="N31" s="695">
        <v>19895.183531177474</v>
      </c>
      <c r="O31" s="695">
        <v>874.67470070535921</v>
      </c>
      <c r="P31" s="695">
        <v>1284.0344645084072</v>
      </c>
      <c r="Q31" s="695">
        <v>881.06804929365796</v>
      </c>
      <c r="R31" s="695">
        <v>1293.4199879771568</v>
      </c>
      <c r="S31" s="695">
        <v>928.74706880000008</v>
      </c>
      <c r="T31" s="695">
        <v>696.436464</v>
      </c>
      <c r="U31" s="695">
        <v>0</v>
      </c>
      <c r="V31" s="695">
        <v>4030.4760000000006</v>
      </c>
      <c r="W31" s="695">
        <f>('Store varmepumper'!J33+Elpatroner!D32)*1.06</f>
        <v>714.55847511302875</v>
      </c>
      <c r="X31" s="695">
        <f>('Store varmepumper'!S33+Elpatroner!G32)*1.07</f>
        <v>1901.3354582013649</v>
      </c>
      <c r="Y31" s="695">
        <f t="shared" si="4"/>
        <v>16951.498934147108</v>
      </c>
      <c r="Z31" s="126">
        <f t="shared" si="5"/>
        <v>29100.885905864401</v>
      </c>
      <c r="AA31" s="4"/>
      <c r="AB31" s="83">
        <f t="shared" si="6"/>
        <v>33447.634171412537</v>
      </c>
      <c r="AC31" s="83">
        <f t="shared" si="7"/>
        <v>2158.7091652137665</v>
      </c>
      <c r="AD31" s="83">
        <f t="shared" si="8"/>
        <v>2174.4880372708149</v>
      </c>
      <c r="AE31" s="83">
        <f t="shared" si="9"/>
        <v>1625.1835328000002</v>
      </c>
      <c r="AF31" s="83">
        <f t="shared" si="10"/>
        <v>4030.4760000000006</v>
      </c>
      <c r="AG31" s="83">
        <f t="shared" si="11"/>
        <v>2615.8939333143935</v>
      </c>
      <c r="AJ31" s="779">
        <v>2039</v>
      </c>
      <c r="AK31" s="757">
        <f t="shared" si="12"/>
        <v>13552.450640235063</v>
      </c>
      <c r="AL31" s="757">
        <f t="shared" si="13"/>
        <v>874.67470070535921</v>
      </c>
      <c r="AM31" s="757">
        <f t="shared" si="14"/>
        <v>881.06804929365796</v>
      </c>
      <c r="AN31" s="757">
        <f t="shared" si="15"/>
        <v>928.74706880000008</v>
      </c>
      <c r="AO31" s="757">
        <f t="shared" si="16"/>
        <v>0</v>
      </c>
      <c r="AP31" s="757">
        <f t="shared" si="17"/>
        <v>714.55847511302875</v>
      </c>
      <c r="AQ31" s="757">
        <f t="shared" si="18"/>
        <v>16951.498934147108</v>
      </c>
      <c r="AS31" s="779">
        <v>2039</v>
      </c>
      <c r="AT31" s="757">
        <f t="shared" si="19"/>
        <v>19895.183531177474</v>
      </c>
      <c r="AU31" s="757">
        <f t="shared" si="20"/>
        <v>1284.0344645084072</v>
      </c>
      <c r="AV31" s="757">
        <f t="shared" si="21"/>
        <v>1293.4199879771568</v>
      </c>
      <c r="AW31" s="757">
        <f t="shared" si="22"/>
        <v>696.436464</v>
      </c>
      <c r="AX31" s="757">
        <f t="shared" si="23"/>
        <v>4030.4760000000006</v>
      </c>
      <c r="AY31" s="757">
        <f t="shared" si="24"/>
        <v>1901.3354582013649</v>
      </c>
      <c r="AZ31" s="757">
        <f t="shared" si="25"/>
        <v>29100.885905864401</v>
      </c>
      <c r="BB31" s="757">
        <v>3766.8</v>
      </c>
      <c r="BD31" s="757">
        <v>1527.05168</v>
      </c>
    </row>
    <row r="32" spans="1:56">
      <c r="B32" s="687">
        <v>2040</v>
      </c>
      <c r="C32" s="30">
        <v>17106.078819874121</v>
      </c>
      <c r="D32" s="30">
        <v>29463.864145676747</v>
      </c>
      <c r="E32" s="30">
        <f t="shared" si="0"/>
        <v>46569.942965550872</v>
      </c>
      <c r="F32" s="30">
        <f t="shared" si="1"/>
        <v>968.268612445705</v>
      </c>
      <c r="G32" s="30">
        <f t="shared" si="2"/>
        <v>1927.54251420316</v>
      </c>
      <c r="H32" s="616">
        <v>16137.810207428416</v>
      </c>
      <c r="I32" s="616">
        <v>27536.321631473587</v>
      </c>
      <c r="J32" s="616">
        <f t="shared" si="3"/>
        <v>43674.131838902002</v>
      </c>
      <c r="L32" s="687">
        <v>2040</v>
      </c>
      <c r="M32" s="696">
        <v>13583.611199107681</v>
      </c>
      <c r="N32" s="696">
        <v>19940.927659244189</v>
      </c>
      <c r="O32" s="696">
        <v>898.84903631892882</v>
      </c>
      <c r="P32" s="696">
        <v>1319.5227209532138</v>
      </c>
      <c r="Q32" s="696">
        <v>971.76623083859329</v>
      </c>
      <c r="R32" s="696">
        <v>1426.5661632100991</v>
      </c>
      <c r="S32" s="696">
        <v>928.74706880000008</v>
      </c>
      <c r="T32" s="696">
        <v>696.436464</v>
      </c>
      <c r="U32" s="696">
        <v>0</v>
      </c>
      <c r="V32" s="696">
        <v>4030.4760000000006</v>
      </c>
      <c r="W32" s="696">
        <f>('Store varmepumper'!J34+Elpatroner!D33)*1.06</f>
        <v>723.1052848089189</v>
      </c>
      <c r="X32" s="696">
        <f>('Store varmepumper'!S34+Elpatroner!G33)*1.07</f>
        <v>2049.9351382692425</v>
      </c>
      <c r="Y32" s="696">
        <f t="shared" si="4"/>
        <v>17106.078819874121</v>
      </c>
      <c r="Z32" s="127">
        <f t="shared" si="5"/>
        <v>29463.864145676747</v>
      </c>
      <c r="AA32" s="4"/>
      <c r="AB32" s="83">
        <f t="shared" si="6"/>
        <v>33524.538858351872</v>
      </c>
      <c r="AC32" s="83">
        <f t="shared" si="7"/>
        <v>2218.3717572721425</v>
      </c>
      <c r="AD32" s="83">
        <f t="shared" si="8"/>
        <v>2398.3323940486925</v>
      </c>
      <c r="AE32" s="83">
        <f t="shared" si="9"/>
        <v>1625.1835328000002</v>
      </c>
      <c r="AF32" s="83">
        <f t="shared" si="10"/>
        <v>4030.4760000000006</v>
      </c>
      <c r="AG32" s="83">
        <f t="shared" si="11"/>
        <v>2773.0404230781614</v>
      </c>
      <c r="AJ32" s="780">
        <v>2040</v>
      </c>
      <c r="AK32" s="778">
        <f t="shared" si="12"/>
        <v>13583.611199107681</v>
      </c>
      <c r="AL32" s="778">
        <f t="shared" si="13"/>
        <v>898.84903631892882</v>
      </c>
      <c r="AM32" s="778">
        <f t="shared" si="14"/>
        <v>971.76623083859329</v>
      </c>
      <c r="AN32" s="778">
        <f t="shared" si="15"/>
        <v>928.74706880000008</v>
      </c>
      <c r="AO32" s="778">
        <f t="shared" si="16"/>
        <v>0</v>
      </c>
      <c r="AP32" s="778">
        <f t="shared" si="17"/>
        <v>723.1052848089189</v>
      </c>
      <c r="AQ32" s="778">
        <f t="shared" si="18"/>
        <v>17106.078819874121</v>
      </c>
      <c r="AS32" s="780">
        <v>2040</v>
      </c>
      <c r="AT32" s="778">
        <f t="shared" si="19"/>
        <v>19940.927659244189</v>
      </c>
      <c r="AU32" s="778">
        <f t="shared" si="20"/>
        <v>1319.5227209532138</v>
      </c>
      <c r="AV32" s="778">
        <f t="shared" si="21"/>
        <v>1426.5661632100991</v>
      </c>
      <c r="AW32" s="778">
        <f t="shared" si="22"/>
        <v>696.436464</v>
      </c>
      <c r="AX32" s="778">
        <f t="shared" si="23"/>
        <v>4030.4760000000006</v>
      </c>
      <c r="AY32" s="778">
        <f t="shared" si="24"/>
        <v>2049.9351382692425</v>
      </c>
      <c r="AZ32" s="778">
        <f t="shared" si="25"/>
        <v>29463.864145676747</v>
      </c>
      <c r="BB32" s="778">
        <v>3766.8</v>
      </c>
      <c r="BD32" s="778">
        <v>1527.05168</v>
      </c>
    </row>
    <row r="33" spans="1:26">
      <c r="B33" s="304" t="s">
        <v>100</v>
      </c>
      <c r="C33" s="20"/>
      <c r="D33" s="20"/>
      <c r="E33" s="283"/>
      <c r="F33" s="20"/>
      <c r="G33" s="20"/>
      <c r="H33" s="20"/>
      <c r="I33" s="20"/>
      <c r="J33" s="283"/>
      <c r="L33" s="304" t="s">
        <v>347</v>
      </c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83"/>
    </row>
    <row r="34" spans="1:26">
      <c r="E34" s="83"/>
      <c r="F34" s="83"/>
      <c r="M34" s="3"/>
    </row>
    <row r="35" spans="1:26" s="613" customFormat="1">
      <c r="A35"/>
      <c r="B35"/>
      <c r="C35"/>
    </row>
    <row r="36" spans="1:26" s="613" customFormat="1">
      <c r="B36"/>
      <c r="C36"/>
    </row>
    <row r="37" spans="1:26" s="613" customFormat="1"/>
    <row r="38" spans="1:26" s="613" customFormat="1"/>
    <row r="39" spans="1:26" s="613" customFormat="1"/>
    <row r="40" spans="1:26" s="613" customFormat="1"/>
    <row r="41" spans="1:26" s="613" customFormat="1"/>
    <row r="42" spans="1:26" s="613" customFormat="1"/>
    <row r="43" spans="1:26" s="613" customFormat="1"/>
    <row r="44" spans="1:26" s="613" customFormat="1"/>
    <row r="45" spans="1:26" s="613" customFormat="1"/>
    <row r="46" spans="1:26" s="613" customFormat="1"/>
    <row r="47" spans="1:26" s="613" customFormat="1"/>
    <row r="48" spans="1:26" s="613" customFormat="1"/>
    <row r="49" s="613" customFormat="1"/>
    <row r="50" s="613" customFormat="1"/>
    <row r="51" s="613" customFormat="1"/>
    <row r="52" s="613" customFormat="1"/>
    <row r="53" s="613" customFormat="1"/>
    <row r="54" s="613" customFormat="1"/>
    <row r="55" s="613" customFormat="1"/>
    <row r="56" s="613" customFormat="1"/>
    <row r="57" s="613" customFormat="1"/>
    <row r="58" s="613" customFormat="1"/>
    <row r="59" s="613" customFormat="1"/>
    <row r="60" s="613" customFormat="1"/>
    <row r="61" s="613" customFormat="1"/>
    <row r="62" s="613" customFormat="1"/>
    <row r="63" s="613" customFormat="1"/>
    <row r="64" s="613" customFormat="1"/>
    <row r="65" spans="1:6" s="613" customFormat="1"/>
    <row r="66" spans="1:6" s="613" customFormat="1"/>
    <row r="67" spans="1:6" s="613" customFormat="1"/>
    <row r="68" spans="1:6" s="613" customFormat="1"/>
    <row r="69" spans="1:6" s="613" customFormat="1"/>
    <row r="70" spans="1:6" s="613" customFormat="1"/>
    <row r="71" spans="1:6" s="613" customFormat="1"/>
    <row r="72" spans="1:6" s="613" customFormat="1"/>
    <row r="73" spans="1:6" s="613" customFormat="1"/>
    <row r="74" spans="1:6" s="613" customFormat="1"/>
    <row r="75" spans="1:6">
      <c r="A75" s="4"/>
      <c r="B75" s="4"/>
      <c r="C75" s="4"/>
      <c r="D75" s="4"/>
      <c r="E75" s="4"/>
      <c r="F75" s="4"/>
    </row>
    <row r="76" spans="1:6">
      <c r="A76" s="4"/>
    </row>
  </sheetData>
  <mergeCells count="12">
    <mergeCell ref="B6:B7"/>
    <mergeCell ref="Y6:Z6"/>
    <mergeCell ref="O6:P6"/>
    <mergeCell ref="C6:E6"/>
    <mergeCell ref="M6:N6"/>
    <mergeCell ref="W6:X6"/>
    <mergeCell ref="Q6:R6"/>
    <mergeCell ref="S6:T6"/>
    <mergeCell ref="F6:G6"/>
    <mergeCell ref="H6:J6"/>
    <mergeCell ref="U6:V6"/>
    <mergeCell ref="L6:L7"/>
  </mergeCells>
  <phoneticPr fontId="13" type="noConversion"/>
  <hyperlinks>
    <hyperlink ref="A2" location="Indholdsfortegnelse!A1" display="Indholdsfortegnelse"/>
  </hyperlinks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>
    <tabColor theme="5" tint="0.39997558519241921"/>
  </sheetPr>
  <dimension ref="A1:Q80"/>
  <sheetViews>
    <sheetView workbookViewId="0"/>
  </sheetViews>
  <sheetFormatPr defaultRowHeight="12.75"/>
  <cols>
    <col min="1" max="1" width="9.140625" style="286"/>
    <col min="2" max="4" width="9.140625" style="286" customWidth="1"/>
    <col min="5" max="5" width="9.140625" style="286"/>
    <col min="6" max="8" width="9.140625" style="286" customWidth="1"/>
    <col min="9" max="15" width="9.140625" style="286"/>
    <col min="16" max="16" width="9.140625" style="286" customWidth="1"/>
    <col min="17" max="17" width="11.5703125" style="286" customWidth="1"/>
    <col min="18" max="16384" width="9.140625" style="286"/>
  </cols>
  <sheetData>
    <row r="1" spans="1:16">
      <c r="A1" s="155" t="s">
        <v>57</v>
      </c>
    </row>
    <row r="2" spans="1:16">
      <c r="A2" s="142" t="s">
        <v>56</v>
      </c>
    </row>
    <row r="3" spans="1:16">
      <c r="A3" s="614" t="s">
        <v>1</v>
      </c>
      <c r="I3" s="89"/>
      <c r="J3" s="89"/>
    </row>
    <row r="5" spans="1:16">
      <c r="B5" s="865" t="s">
        <v>401</v>
      </c>
      <c r="C5" s="865"/>
      <c r="D5" s="865"/>
      <c r="E5" s="865"/>
      <c r="F5" s="865"/>
      <c r="G5" s="865"/>
      <c r="H5" s="865"/>
      <c r="J5" s="865" t="s">
        <v>402</v>
      </c>
      <c r="K5" s="865"/>
      <c r="L5" s="865"/>
      <c r="M5" s="865"/>
      <c r="N5" s="865"/>
      <c r="O5" s="865"/>
      <c r="P5" s="865"/>
    </row>
    <row r="6" spans="1:16">
      <c r="B6" s="871" t="s">
        <v>0</v>
      </c>
      <c r="C6" s="870" t="s">
        <v>6</v>
      </c>
      <c r="D6" s="871"/>
      <c r="E6" s="857" t="s">
        <v>7</v>
      </c>
      <c r="F6" s="858"/>
      <c r="G6" s="857" t="s">
        <v>10</v>
      </c>
      <c r="H6" s="859"/>
      <c r="J6" s="873" t="s">
        <v>0</v>
      </c>
      <c r="K6" s="866" t="s">
        <v>6</v>
      </c>
      <c r="L6" s="867"/>
      <c r="M6" s="868" t="s">
        <v>7</v>
      </c>
      <c r="N6" s="854"/>
      <c r="O6" s="868" t="s">
        <v>10</v>
      </c>
      <c r="P6" s="869"/>
    </row>
    <row r="7" spans="1:16" ht="27.75" customHeight="1">
      <c r="B7" s="872"/>
      <c r="C7" s="772" t="s">
        <v>397</v>
      </c>
      <c r="D7" s="775" t="s">
        <v>398</v>
      </c>
      <c r="E7" s="782" t="s">
        <v>397</v>
      </c>
      <c r="F7" s="775" t="s">
        <v>398</v>
      </c>
      <c r="G7" s="777" t="s">
        <v>397</v>
      </c>
      <c r="H7" s="782" t="s">
        <v>398</v>
      </c>
      <c r="J7" s="873"/>
      <c r="K7" s="775" t="s">
        <v>397</v>
      </c>
      <c r="L7" s="773" t="s">
        <v>398</v>
      </c>
      <c r="M7" s="775" t="s">
        <v>397</v>
      </c>
      <c r="N7" s="773" t="s">
        <v>398</v>
      </c>
      <c r="O7" s="775" t="s">
        <v>397</v>
      </c>
      <c r="P7" s="774" t="s">
        <v>398</v>
      </c>
    </row>
    <row r="8" spans="1:16">
      <c r="B8" s="867"/>
      <c r="C8" s="772" t="s">
        <v>99</v>
      </c>
      <c r="D8" s="775" t="s">
        <v>99</v>
      </c>
      <c r="E8" s="774" t="s">
        <v>99</v>
      </c>
      <c r="F8" s="775" t="s">
        <v>99</v>
      </c>
      <c r="G8" s="775" t="s">
        <v>99</v>
      </c>
      <c r="H8" s="774" t="s">
        <v>99</v>
      </c>
      <c r="J8" s="874"/>
      <c r="K8" s="777" t="s">
        <v>99</v>
      </c>
      <c r="L8" s="770" t="s">
        <v>99</v>
      </c>
      <c r="M8" s="777" t="s">
        <v>99</v>
      </c>
      <c r="N8" s="770" t="s">
        <v>99</v>
      </c>
      <c r="O8" s="777" t="s">
        <v>99</v>
      </c>
      <c r="P8" s="782" t="s">
        <v>99</v>
      </c>
    </row>
    <row r="9" spans="1:16">
      <c r="B9" s="784">
        <v>2016</v>
      </c>
      <c r="C9" s="287">
        <v>2511.9547089231605</v>
      </c>
      <c r="D9" s="128">
        <v>2612.8066336008137</v>
      </c>
      <c r="E9" s="287">
        <v>3505.5353359587284</v>
      </c>
      <c r="F9" s="128">
        <v>3658.8551486241554</v>
      </c>
      <c r="G9" s="287">
        <f>C9+E9</f>
        <v>6017.4900448818889</v>
      </c>
      <c r="H9" s="287">
        <f>D9+F9</f>
        <v>6271.6617822249691</v>
      </c>
      <c r="J9" s="6">
        <v>2016</v>
      </c>
      <c r="K9" s="126">
        <v>2449.1667645288071</v>
      </c>
      <c r="L9" s="128">
        <v>2547.4978296478744</v>
      </c>
      <c r="M9" s="126">
        <v>3436.3511972943647</v>
      </c>
      <c r="N9" s="128">
        <v>3586.6451385413429</v>
      </c>
      <c r="O9" s="287">
        <f>K9+M9</f>
        <v>5885.5179618231723</v>
      </c>
      <c r="P9" s="287">
        <f>L9+N9</f>
        <v>6134.1429681892168</v>
      </c>
    </row>
    <row r="10" spans="1:16">
      <c r="B10" s="11">
        <v>2017</v>
      </c>
      <c r="C10" s="287">
        <v>2532.6191500938939</v>
      </c>
      <c r="D10" s="128">
        <v>2634.3007269372706</v>
      </c>
      <c r="E10" s="287">
        <v>3532.0430073740881</v>
      </c>
      <c r="F10" s="128">
        <v>3686.5221725566362</v>
      </c>
      <c r="G10" s="287">
        <f t="shared" ref="G10:G33" si="0">C10+E10</f>
        <v>6064.6621574679821</v>
      </c>
      <c r="H10" s="287">
        <f t="shared" ref="H10:H33" si="1">D10+F10</f>
        <v>6320.8228994939072</v>
      </c>
      <c r="J10" s="6">
        <v>2017</v>
      </c>
      <c r="K10" s="126">
        <v>2467.1998974236399</v>
      </c>
      <c r="L10" s="128">
        <v>2566.2549708832839</v>
      </c>
      <c r="M10" s="126">
        <v>3457.706995757193</v>
      </c>
      <c r="N10" s="128">
        <v>3608.934964679218</v>
      </c>
      <c r="O10" s="287">
        <f t="shared" ref="O10:O33" si="2">K10+M10</f>
        <v>5924.9068931808324</v>
      </c>
      <c r="P10" s="287">
        <f t="shared" ref="P10:P33" si="3">L10+N10</f>
        <v>6175.1899355625019</v>
      </c>
    </row>
    <row r="11" spans="1:16">
      <c r="B11" s="11">
        <v>2018</v>
      </c>
      <c r="C11" s="287">
        <v>2555.3317173284036</v>
      </c>
      <c r="D11" s="128">
        <v>2657.9251761065275</v>
      </c>
      <c r="E11" s="287">
        <v>3638.4726051370485</v>
      </c>
      <c r="F11" s="128">
        <v>3794.107708169166</v>
      </c>
      <c r="G11" s="287">
        <f t="shared" si="0"/>
        <v>6193.8043224654521</v>
      </c>
      <c r="H11" s="287">
        <f t="shared" si="1"/>
        <v>6452.0328842756935</v>
      </c>
      <c r="J11" s="6">
        <v>2018</v>
      </c>
      <c r="K11" s="126">
        <v>2483.3213524572207</v>
      </c>
      <c r="L11" s="128">
        <v>2583.0236827177005</v>
      </c>
      <c r="M11" s="126">
        <v>3478.9001898408669</v>
      </c>
      <c r="N11" s="128">
        <v>3631.0550746930671</v>
      </c>
      <c r="O11" s="287">
        <f t="shared" si="2"/>
        <v>5962.221542298088</v>
      </c>
      <c r="P11" s="287">
        <f t="shared" si="3"/>
        <v>6214.0787574107671</v>
      </c>
    </row>
    <row r="12" spans="1:16">
      <c r="B12" s="11">
        <v>2019</v>
      </c>
      <c r="C12" s="287">
        <v>2585.2701808823158</v>
      </c>
      <c r="D12" s="128">
        <v>2689.0656325389646</v>
      </c>
      <c r="E12" s="287">
        <v>3749.1574791563153</v>
      </c>
      <c r="F12" s="128">
        <v>3906.1346308872539</v>
      </c>
      <c r="G12" s="287">
        <f t="shared" si="0"/>
        <v>6334.4276600386311</v>
      </c>
      <c r="H12" s="287">
        <f t="shared" si="1"/>
        <v>6595.200263426219</v>
      </c>
      <c r="J12" s="6">
        <v>2019</v>
      </c>
      <c r="K12" s="126">
        <v>2502.7856323149531</v>
      </c>
      <c r="L12" s="128">
        <v>2603.2694297249573</v>
      </c>
      <c r="M12" s="126">
        <v>3504.1109770326361</v>
      </c>
      <c r="N12" s="128">
        <v>3657.3684932375254</v>
      </c>
      <c r="O12" s="287">
        <f t="shared" si="2"/>
        <v>6006.8966093475892</v>
      </c>
      <c r="P12" s="287">
        <f t="shared" si="3"/>
        <v>6260.6379229624827</v>
      </c>
    </row>
    <row r="13" spans="1:16">
      <c r="B13" s="11">
        <v>2020</v>
      </c>
      <c r="C13" s="287">
        <v>2607.9938786324578</v>
      </c>
      <c r="D13" s="128">
        <v>2712.7016591005117</v>
      </c>
      <c r="E13" s="287">
        <v>3845.1881323420153</v>
      </c>
      <c r="F13" s="128">
        <v>4002.8664085825612</v>
      </c>
      <c r="G13" s="287">
        <f t="shared" si="0"/>
        <v>6453.1820109744731</v>
      </c>
      <c r="H13" s="287">
        <f t="shared" si="1"/>
        <v>6715.5680676830725</v>
      </c>
      <c r="J13" s="6">
        <v>2020</v>
      </c>
      <c r="K13" s="126">
        <v>2503.1637602798819</v>
      </c>
      <c r="L13" s="128">
        <v>2603.6627390675208</v>
      </c>
      <c r="M13" s="126">
        <v>3504.935535807524</v>
      </c>
      <c r="N13" s="128">
        <v>3658.2291153193792</v>
      </c>
      <c r="O13" s="287">
        <f t="shared" si="2"/>
        <v>6008.0992960874064</v>
      </c>
      <c r="P13" s="287">
        <f t="shared" si="3"/>
        <v>6261.8918543869004</v>
      </c>
    </row>
    <row r="14" spans="1:16">
      <c r="B14" s="11">
        <v>2021</v>
      </c>
      <c r="C14" s="287">
        <v>2629.0885977958583</v>
      </c>
      <c r="D14" s="128">
        <v>2734.6433055674211</v>
      </c>
      <c r="E14" s="287">
        <v>3921.5834143229476</v>
      </c>
      <c r="F14" s="128">
        <v>4079.8329743554887</v>
      </c>
      <c r="G14" s="287">
        <f t="shared" si="0"/>
        <v>6550.6720121188064</v>
      </c>
      <c r="H14" s="287">
        <f t="shared" si="1"/>
        <v>6814.4762799229102</v>
      </c>
      <c r="J14" s="6">
        <v>2021</v>
      </c>
      <c r="K14" s="126">
        <v>2498.1688873810454</v>
      </c>
      <c r="L14" s="128">
        <v>2598.467328100231</v>
      </c>
      <c r="M14" s="126">
        <v>3498.9400218195583</v>
      </c>
      <c r="N14" s="128">
        <v>3651.9713785912686</v>
      </c>
      <c r="O14" s="287">
        <f t="shared" si="2"/>
        <v>5997.1089092006041</v>
      </c>
      <c r="P14" s="287">
        <f t="shared" si="3"/>
        <v>6250.4387066914996</v>
      </c>
    </row>
    <row r="15" spans="1:16">
      <c r="B15" s="11">
        <v>2022</v>
      </c>
      <c r="C15" s="287">
        <v>2661.590875773838</v>
      </c>
      <c r="D15" s="128">
        <v>2768.4505104530567</v>
      </c>
      <c r="E15" s="287">
        <v>4016.9175389473489</v>
      </c>
      <c r="F15" s="128">
        <v>4176.5667012818731</v>
      </c>
      <c r="G15" s="287">
        <f t="shared" si="0"/>
        <v>6678.5084147211874</v>
      </c>
      <c r="H15" s="287">
        <f t="shared" si="1"/>
        <v>6945.0172117349302</v>
      </c>
      <c r="J15" s="6">
        <v>2022</v>
      </c>
      <c r="K15" s="126">
        <v>2502.4377538609888</v>
      </c>
      <c r="L15" s="128">
        <v>2602.9075843744117</v>
      </c>
      <c r="M15" s="126">
        <v>3505.7602999634191</v>
      </c>
      <c r="N15" s="128">
        <v>3659.0899517648832</v>
      </c>
      <c r="O15" s="287">
        <f t="shared" si="2"/>
        <v>6008.1980538244079</v>
      </c>
      <c r="P15" s="287">
        <f t="shared" si="3"/>
        <v>6261.9975361392953</v>
      </c>
    </row>
    <row r="16" spans="1:16">
      <c r="B16" s="11">
        <v>2023</v>
      </c>
      <c r="C16" s="287">
        <v>2686.3808670987414</v>
      </c>
      <c r="D16" s="128">
        <v>2794.2357897618467</v>
      </c>
      <c r="E16" s="287">
        <v>4112.4728432503271</v>
      </c>
      <c r="F16" s="128">
        <v>4273.5312815097286</v>
      </c>
      <c r="G16" s="287">
        <f t="shared" si="0"/>
        <v>6798.8537103490689</v>
      </c>
      <c r="H16" s="287">
        <f t="shared" si="1"/>
        <v>7067.7670712715753</v>
      </c>
      <c r="J16" s="6">
        <v>2023</v>
      </c>
      <c r="K16" s="126">
        <v>2502.4557841008814</v>
      </c>
      <c r="L16" s="128">
        <v>2602.9263385064942</v>
      </c>
      <c r="M16" s="126">
        <v>3509.2308535271313</v>
      </c>
      <c r="N16" s="128">
        <v>3662.7122951613142</v>
      </c>
      <c r="O16" s="287">
        <f t="shared" si="2"/>
        <v>6011.6866376280122</v>
      </c>
      <c r="P16" s="287">
        <f t="shared" si="3"/>
        <v>6265.6386336678079</v>
      </c>
    </row>
    <row r="17" spans="2:16">
      <c r="B17" s="11">
        <v>2024</v>
      </c>
      <c r="C17" s="287">
        <v>2718.4484149166469</v>
      </c>
      <c r="D17" s="128">
        <v>2827.5908106005195</v>
      </c>
      <c r="E17" s="287">
        <v>4145.421457551256</v>
      </c>
      <c r="F17" s="128">
        <v>4307.9209525646384</v>
      </c>
      <c r="G17" s="287">
        <f t="shared" si="0"/>
        <v>6863.8698724679034</v>
      </c>
      <c r="H17" s="287">
        <f t="shared" si="1"/>
        <v>7135.5117631651574</v>
      </c>
      <c r="J17" s="6">
        <v>2024</v>
      </c>
      <c r="K17" s="126">
        <v>2505.5758800694643</v>
      </c>
      <c r="L17" s="128">
        <v>2606.1717025312619</v>
      </c>
      <c r="M17" s="126">
        <v>3513.1026429826402</v>
      </c>
      <c r="N17" s="128">
        <v>3666.7534230992824</v>
      </c>
      <c r="O17" s="287">
        <f t="shared" si="2"/>
        <v>6018.6785230521045</v>
      </c>
      <c r="P17" s="287">
        <f t="shared" si="3"/>
        <v>6272.9251256305442</v>
      </c>
    </row>
    <row r="18" spans="2:16">
      <c r="B18" s="11">
        <v>2025</v>
      </c>
      <c r="C18" s="287">
        <v>2738.4842317995272</v>
      </c>
      <c r="D18" s="128">
        <v>2848.4310411489605</v>
      </c>
      <c r="E18" s="287">
        <v>4168.6628442193469</v>
      </c>
      <c r="F18" s="128">
        <v>4332.1788359182683</v>
      </c>
      <c r="G18" s="287">
        <f t="shared" si="0"/>
        <v>6907.147076018874</v>
      </c>
      <c r="H18" s="287">
        <f t="shared" si="1"/>
        <v>7180.6098770672288</v>
      </c>
      <c r="J18" s="6">
        <v>2025</v>
      </c>
      <c r="K18" s="126">
        <v>2508.0973158206484</v>
      </c>
      <c r="L18" s="128">
        <v>2608.7943708594325</v>
      </c>
      <c r="M18" s="126">
        <v>3515.7010105533423</v>
      </c>
      <c r="N18" s="128">
        <v>3669.4654341483679</v>
      </c>
      <c r="O18" s="287">
        <f t="shared" si="2"/>
        <v>6023.7983263739907</v>
      </c>
      <c r="P18" s="287">
        <f t="shared" si="3"/>
        <v>6278.2598050078004</v>
      </c>
    </row>
    <row r="19" spans="2:16">
      <c r="B19" s="11">
        <v>2026</v>
      </c>
      <c r="C19" s="287">
        <v>2754.8897286047481</v>
      </c>
      <c r="D19" s="128">
        <v>2865.4951986864885</v>
      </c>
      <c r="E19" s="287">
        <v>4188.2947624303179</v>
      </c>
      <c r="F19" s="128">
        <v>4352.6693853321522</v>
      </c>
      <c r="G19" s="287">
        <f t="shared" si="0"/>
        <v>6943.1844910350665</v>
      </c>
      <c r="H19" s="287">
        <f t="shared" si="1"/>
        <v>7218.1645840186411</v>
      </c>
      <c r="J19" s="6">
        <v>2026</v>
      </c>
      <c r="K19" s="126">
        <v>2507.6430829145411</v>
      </c>
      <c r="L19" s="128">
        <v>2608.3219010549174</v>
      </c>
      <c r="M19" s="126">
        <v>3515.0642939965505</v>
      </c>
      <c r="N19" s="128">
        <v>3668.8008698439853</v>
      </c>
      <c r="O19" s="287">
        <f t="shared" si="2"/>
        <v>6022.7073769110921</v>
      </c>
      <c r="P19" s="287">
        <f t="shared" si="3"/>
        <v>6277.1227708989027</v>
      </c>
    </row>
    <row r="20" spans="2:16">
      <c r="B20" s="11">
        <v>2027</v>
      </c>
      <c r="C20" s="287">
        <v>2771.3511992542608</v>
      </c>
      <c r="D20" s="128">
        <v>2882.6175773500386</v>
      </c>
      <c r="E20" s="287">
        <v>4204.8876081006301</v>
      </c>
      <c r="F20" s="128">
        <v>4369.9879438382941</v>
      </c>
      <c r="G20" s="287">
        <f t="shared" si="0"/>
        <v>6976.2388073548909</v>
      </c>
      <c r="H20" s="287">
        <f t="shared" si="1"/>
        <v>7252.6055211883322</v>
      </c>
      <c r="J20" s="6">
        <v>2027</v>
      </c>
      <c r="K20" s="126">
        <v>2508.8064492900635</v>
      </c>
      <c r="L20" s="128">
        <v>2609.5319751746756</v>
      </c>
      <c r="M20" s="126">
        <v>3516.6950314947599</v>
      </c>
      <c r="N20" s="128">
        <v>3670.5029300771753</v>
      </c>
      <c r="O20" s="287">
        <f t="shared" si="2"/>
        <v>6025.5014807848238</v>
      </c>
      <c r="P20" s="287">
        <f t="shared" si="3"/>
        <v>6280.0349052518504</v>
      </c>
    </row>
    <row r="21" spans="2:16">
      <c r="B21" s="11">
        <v>2028</v>
      </c>
      <c r="C21" s="287">
        <v>2785.2154730672046</v>
      </c>
      <c r="D21" s="128">
        <v>2897.038484884652</v>
      </c>
      <c r="E21" s="287">
        <v>4214.9971017952466</v>
      </c>
      <c r="F21" s="128">
        <v>4380.5395913071152</v>
      </c>
      <c r="G21" s="287">
        <f t="shared" si="0"/>
        <v>7000.2125748624512</v>
      </c>
      <c r="H21" s="287">
        <f t="shared" si="1"/>
        <v>7277.5780761917667</v>
      </c>
      <c r="I21" s="17"/>
      <c r="J21" s="6">
        <v>2028</v>
      </c>
      <c r="K21" s="126">
        <v>2507.1603033869987</v>
      </c>
      <c r="L21" s="128">
        <v>2607.8197385168551</v>
      </c>
      <c r="M21" s="126">
        <v>3514.3875624908983</v>
      </c>
      <c r="N21" s="128">
        <v>3668.0945404773142</v>
      </c>
      <c r="O21" s="287">
        <f t="shared" si="2"/>
        <v>6021.5478658778975</v>
      </c>
      <c r="P21" s="287">
        <f t="shared" si="3"/>
        <v>6275.9142789941689</v>
      </c>
    </row>
    <row r="22" spans="2:16">
      <c r="B22" s="11">
        <v>2029</v>
      </c>
      <c r="C22" s="287">
        <v>2792.2441031756989</v>
      </c>
      <c r="D22" s="128">
        <v>2904.3493059386165</v>
      </c>
      <c r="E22" s="287">
        <v>4226.1406128123808</v>
      </c>
      <c r="F22" s="128">
        <v>4392.1704803871817</v>
      </c>
      <c r="G22" s="287">
        <f t="shared" si="0"/>
        <v>7018.3847159880797</v>
      </c>
      <c r="H22" s="287">
        <f t="shared" si="1"/>
        <v>7296.5197863257981</v>
      </c>
      <c r="I22" s="17"/>
      <c r="J22" s="6">
        <v>2029</v>
      </c>
      <c r="K22" s="126">
        <v>2506.0925657058847</v>
      </c>
      <c r="L22" s="128">
        <v>2606.7091324672115</v>
      </c>
      <c r="M22" s="126">
        <v>3512.8908715846796</v>
      </c>
      <c r="N22" s="128">
        <v>3666.532389563602</v>
      </c>
      <c r="O22" s="287">
        <f t="shared" si="2"/>
        <v>6018.9834372905643</v>
      </c>
      <c r="P22" s="287">
        <f t="shared" si="3"/>
        <v>6273.2415220308139</v>
      </c>
    </row>
    <row r="23" spans="2:16">
      <c r="B23" s="11">
        <v>2030</v>
      </c>
      <c r="C23" s="287">
        <v>2804.502892210367</v>
      </c>
      <c r="D23" s="128">
        <v>2917.1002704348771</v>
      </c>
      <c r="E23" s="287">
        <v>4243.9567378760003</v>
      </c>
      <c r="F23" s="128">
        <v>4410.7658202341063</v>
      </c>
      <c r="G23" s="287">
        <f t="shared" si="0"/>
        <v>7048.4596300863668</v>
      </c>
      <c r="H23" s="287">
        <f t="shared" si="1"/>
        <v>7327.8660906689838</v>
      </c>
      <c r="I23" s="17"/>
      <c r="J23" s="6">
        <v>2030</v>
      </c>
      <c r="K23" s="126">
        <v>2510.315714672216</v>
      </c>
      <c r="L23" s="128">
        <v>2611.1018357252433</v>
      </c>
      <c r="M23" s="126">
        <v>3518.8106295601756</v>
      </c>
      <c r="N23" s="128">
        <v>3672.711056977128</v>
      </c>
      <c r="O23" s="287">
        <f t="shared" si="2"/>
        <v>6029.1263442323916</v>
      </c>
      <c r="P23" s="287">
        <f t="shared" si="3"/>
        <v>6283.8128927023718</v>
      </c>
    </row>
    <row r="24" spans="2:16">
      <c r="B24" s="11">
        <v>2031</v>
      </c>
      <c r="C24" s="287">
        <v>2812.0937476574472</v>
      </c>
      <c r="D24" s="128">
        <v>2924.9958894905799</v>
      </c>
      <c r="E24" s="287">
        <v>4254.5971456456382</v>
      </c>
      <c r="F24" s="128">
        <v>4421.8716020963084</v>
      </c>
      <c r="G24" s="287">
        <f t="shared" si="0"/>
        <v>7066.6908933030854</v>
      </c>
      <c r="H24" s="287">
        <f t="shared" si="1"/>
        <v>7346.8674915868887</v>
      </c>
      <c r="I24" s="17"/>
      <c r="J24" s="6">
        <v>2031</v>
      </c>
      <c r="K24" s="126">
        <v>2508.6934405868201</v>
      </c>
      <c r="L24" s="128">
        <v>2609.4144293095205</v>
      </c>
      <c r="M24" s="126">
        <v>3516.5366226444771</v>
      </c>
      <c r="N24" s="128">
        <v>3670.3375929797285</v>
      </c>
      <c r="O24" s="287">
        <f t="shared" si="2"/>
        <v>6025.2300632312972</v>
      </c>
      <c r="P24" s="287">
        <f t="shared" si="3"/>
        <v>6279.752022289249</v>
      </c>
    </row>
    <row r="25" spans="2:16">
      <c r="B25" s="11">
        <v>2032</v>
      </c>
      <c r="C25" s="287">
        <v>2821.0579381482798</v>
      </c>
      <c r="D25" s="128">
        <v>2934.3199813207821</v>
      </c>
      <c r="E25" s="287">
        <v>4267.1626124513386</v>
      </c>
      <c r="F25" s="128">
        <v>4434.9866383206772</v>
      </c>
      <c r="G25" s="287">
        <f t="shared" si="0"/>
        <v>7088.2205505996189</v>
      </c>
      <c r="H25" s="287">
        <f t="shared" si="1"/>
        <v>7369.3066196414593</v>
      </c>
      <c r="I25" s="17"/>
      <c r="J25" s="6">
        <v>2032</v>
      </c>
      <c r="K25" s="126">
        <v>2507.8670824713217</v>
      </c>
      <c r="L25" s="128">
        <v>2608.554893921309</v>
      </c>
      <c r="M25" s="126">
        <v>3515.3782831959206</v>
      </c>
      <c r="N25" s="128">
        <v>3669.1285918289677</v>
      </c>
      <c r="O25" s="287">
        <f t="shared" si="2"/>
        <v>6023.2453656672424</v>
      </c>
      <c r="P25" s="287">
        <f t="shared" si="3"/>
        <v>6277.6834857502763</v>
      </c>
    </row>
    <row r="26" spans="2:16">
      <c r="B26" s="11">
        <v>2033</v>
      </c>
      <c r="C26" s="287">
        <v>2826.6907172029305</v>
      </c>
      <c r="D26" s="128">
        <v>2940.178909599751</v>
      </c>
      <c r="E26" s="287">
        <v>4275.0583056884971</v>
      </c>
      <c r="F26" s="128">
        <v>4443.2276614695238</v>
      </c>
      <c r="G26" s="287">
        <f t="shared" si="0"/>
        <v>7101.7490228914276</v>
      </c>
      <c r="H26" s="287">
        <f t="shared" si="1"/>
        <v>7383.4065710692748</v>
      </c>
      <c r="I26" s="17"/>
      <c r="J26" s="6">
        <v>2033</v>
      </c>
      <c r="K26" s="126">
        <v>2503.6102985035441</v>
      </c>
      <c r="L26" s="128">
        <v>2604.127205257455</v>
      </c>
      <c r="M26" s="126">
        <v>3509.4113776843906</v>
      </c>
      <c r="N26" s="128">
        <v>3662.9007148116493</v>
      </c>
      <c r="O26" s="287">
        <f t="shared" si="2"/>
        <v>6013.0216761879346</v>
      </c>
      <c r="P26" s="287">
        <f t="shared" si="3"/>
        <v>6267.0279200691039</v>
      </c>
    </row>
    <row r="27" spans="2:16">
      <c r="B27" s="11">
        <v>2034</v>
      </c>
      <c r="C27" s="287">
        <v>2828.8700762499529</v>
      </c>
      <c r="D27" s="128">
        <v>2942.4457672603735</v>
      </c>
      <c r="E27" s="287">
        <v>4278.1132010291367</v>
      </c>
      <c r="F27" s="128">
        <v>4446.4161672109867</v>
      </c>
      <c r="G27" s="287">
        <f t="shared" si="0"/>
        <v>7106.9832772790896</v>
      </c>
      <c r="H27" s="287">
        <f t="shared" si="1"/>
        <v>7388.8619344713607</v>
      </c>
      <c r="I27" s="17"/>
      <c r="J27" s="6">
        <v>2034</v>
      </c>
      <c r="K27" s="126">
        <v>2498.6567295831805</v>
      </c>
      <c r="L27" s="128">
        <v>2598.97475657311</v>
      </c>
      <c r="M27" s="126">
        <v>3502.4677606447653</v>
      </c>
      <c r="N27" s="128">
        <v>3655.6534083318361</v>
      </c>
      <c r="O27" s="287">
        <f t="shared" si="2"/>
        <v>6001.1244902279459</v>
      </c>
      <c r="P27" s="287">
        <f t="shared" si="3"/>
        <v>6254.6281649049461</v>
      </c>
    </row>
    <row r="28" spans="2:16">
      <c r="B28" s="11">
        <v>2035</v>
      </c>
      <c r="C28" s="287">
        <v>2838.1798772977231</v>
      </c>
      <c r="D28" s="128">
        <v>2952.1293454907891</v>
      </c>
      <c r="E28" s="287">
        <v>4291.1631240704974</v>
      </c>
      <c r="F28" s="128">
        <v>4460.0368480865291</v>
      </c>
      <c r="G28" s="287">
        <f t="shared" si="0"/>
        <v>7129.3430013682209</v>
      </c>
      <c r="H28" s="287">
        <f t="shared" si="1"/>
        <v>7412.1661935773182</v>
      </c>
      <c r="I28" s="17"/>
      <c r="J28" s="6">
        <v>2035</v>
      </c>
      <c r="K28" s="126">
        <v>2501.0437169669281</v>
      </c>
      <c r="L28" s="128">
        <v>2601.4575785955067</v>
      </c>
      <c r="M28" s="126">
        <v>3505.8136969863453</v>
      </c>
      <c r="N28" s="128">
        <v>3659.1456841861918</v>
      </c>
      <c r="O28" s="287">
        <f t="shared" si="2"/>
        <v>6006.8574139532739</v>
      </c>
      <c r="P28" s="287">
        <f t="shared" si="3"/>
        <v>6260.6032627816985</v>
      </c>
    </row>
    <row r="29" spans="2:16">
      <c r="B29" s="11">
        <v>2036</v>
      </c>
      <c r="C29" s="287">
        <v>2843.9495420860962</v>
      </c>
      <c r="D29" s="128">
        <v>2958.1306552991077</v>
      </c>
      <c r="E29" s="287">
        <v>4299.2506955531035</v>
      </c>
      <c r="F29" s="128">
        <v>4468.4781415618691</v>
      </c>
      <c r="G29" s="287">
        <f t="shared" si="0"/>
        <v>7143.2002376391993</v>
      </c>
      <c r="H29" s="287">
        <f t="shared" si="1"/>
        <v>7426.6087968609772</v>
      </c>
      <c r="I29" s="17"/>
      <c r="J29" s="6">
        <v>2036</v>
      </c>
      <c r="K29" s="126">
        <v>2497.855664956774</v>
      </c>
      <c r="L29" s="128">
        <v>2598.1415301767966</v>
      </c>
      <c r="M29" s="126">
        <v>3501.3448760984561</v>
      </c>
      <c r="N29" s="128">
        <v>3654.4814127563159</v>
      </c>
      <c r="O29" s="287">
        <f t="shared" si="2"/>
        <v>5999.2005410552301</v>
      </c>
      <c r="P29" s="287">
        <f t="shared" si="3"/>
        <v>6252.6229429331124</v>
      </c>
    </row>
    <row r="30" spans="2:16">
      <c r="B30" s="11">
        <v>2037</v>
      </c>
      <c r="C30" s="287">
        <v>2852.0766605559479</v>
      </c>
      <c r="D30" s="128">
        <v>2966.5840676853495</v>
      </c>
      <c r="E30" s="287">
        <v>4310.642804797475</v>
      </c>
      <c r="F30" s="128">
        <v>4480.3685016831596</v>
      </c>
      <c r="G30" s="287">
        <f t="shared" si="0"/>
        <v>7162.7194653534225</v>
      </c>
      <c r="H30" s="287">
        <f t="shared" si="1"/>
        <v>7446.9525693685091</v>
      </c>
      <c r="I30" s="17"/>
      <c r="J30" s="6">
        <v>2037</v>
      </c>
      <c r="K30" s="126">
        <v>2497.0984154380076</v>
      </c>
      <c r="L30" s="128">
        <v>2597.3538780113754</v>
      </c>
      <c r="M30" s="126">
        <v>3500.2834089529929</v>
      </c>
      <c r="N30" s="128">
        <v>3653.3735207632062</v>
      </c>
      <c r="O30" s="287">
        <f t="shared" si="2"/>
        <v>5997.3818243910009</v>
      </c>
      <c r="P30" s="287">
        <f t="shared" si="3"/>
        <v>6250.7273987745812</v>
      </c>
    </row>
    <row r="31" spans="2:16">
      <c r="B31" s="11">
        <v>2038</v>
      </c>
      <c r="C31" s="287">
        <v>2859.5076747408393</v>
      </c>
      <c r="D31" s="128">
        <v>2974.3134280467025</v>
      </c>
      <c r="E31" s="287">
        <v>4321.0591566329749</v>
      </c>
      <c r="F31" s="128">
        <v>4491.240428191004</v>
      </c>
      <c r="G31" s="287">
        <f t="shared" si="0"/>
        <v>7180.5668313738142</v>
      </c>
      <c r="H31" s="287">
        <f t="shared" si="1"/>
        <v>7465.553856237706</v>
      </c>
      <c r="I31" s="17"/>
      <c r="J31" s="6">
        <v>2038</v>
      </c>
      <c r="K31" s="126">
        <v>2495.7250401593815</v>
      </c>
      <c r="L31" s="128">
        <v>2595.9253633866206</v>
      </c>
      <c r="M31" s="126">
        <v>3498.3582935180852</v>
      </c>
      <c r="N31" s="128">
        <v>3651.3642075355074</v>
      </c>
      <c r="O31" s="287">
        <f t="shared" si="2"/>
        <v>5994.0833336774667</v>
      </c>
      <c r="P31" s="287">
        <f t="shared" si="3"/>
        <v>6247.2895709221284</v>
      </c>
    </row>
    <row r="32" spans="2:16">
      <c r="B32" s="11">
        <v>2039</v>
      </c>
      <c r="C32" s="287">
        <v>2867.0980983771929</v>
      </c>
      <c r="D32" s="128">
        <v>2982.2085979550038</v>
      </c>
      <c r="E32" s="287">
        <v>4331.6989591161273</v>
      </c>
      <c r="F32" s="128">
        <v>4502.3455782936153</v>
      </c>
      <c r="G32" s="287">
        <f t="shared" si="0"/>
        <v>7198.7970574933206</v>
      </c>
      <c r="H32" s="287">
        <f t="shared" si="1"/>
        <v>7484.5541762486191</v>
      </c>
      <c r="I32" s="17"/>
      <c r="J32" s="6">
        <v>2039</v>
      </c>
      <c r="K32" s="126">
        <v>2494.5979492150873</v>
      </c>
      <c r="L32" s="128">
        <v>2594.7530211125095</v>
      </c>
      <c r="M32" s="126">
        <v>3496.7784047526679</v>
      </c>
      <c r="N32" s="128">
        <v>3649.7152199802235</v>
      </c>
      <c r="O32" s="287">
        <f t="shared" si="2"/>
        <v>5991.3763539677548</v>
      </c>
      <c r="P32" s="287">
        <f t="shared" si="3"/>
        <v>6244.4682410927326</v>
      </c>
    </row>
    <row r="33" spans="1:16">
      <c r="B33" s="687">
        <v>2040</v>
      </c>
      <c r="C33" s="14">
        <v>2881.4572865337182</v>
      </c>
      <c r="D33" s="715">
        <v>2997.1442900418147</v>
      </c>
      <c r="E33" s="14">
        <v>4351.8268114104485</v>
      </c>
      <c r="F33" s="715">
        <v>4523.3537522071383</v>
      </c>
      <c r="G33" s="14">
        <f t="shared" si="0"/>
        <v>7233.2840979441662</v>
      </c>
      <c r="H33" s="14">
        <f t="shared" si="1"/>
        <v>7520.4980422489534</v>
      </c>
      <c r="I33" s="17"/>
      <c r="J33" s="783">
        <v>2040</v>
      </c>
      <c r="K33" s="127">
        <v>2500.3336695156836</v>
      </c>
      <c r="L33" s="715">
        <v>2600.7190236031761</v>
      </c>
      <c r="M33" s="127">
        <v>3504.8183948797891</v>
      </c>
      <c r="N33" s="715">
        <v>3658.1068510585792</v>
      </c>
      <c r="O33" s="14">
        <f t="shared" si="2"/>
        <v>6005.1520643954727</v>
      </c>
      <c r="P33" s="14">
        <f t="shared" si="3"/>
        <v>6258.8258746617557</v>
      </c>
    </row>
    <row r="34" spans="1:16">
      <c r="B34" s="578" t="s">
        <v>99</v>
      </c>
      <c r="C34" s="2"/>
      <c r="D34" s="2"/>
      <c r="E34" s="2"/>
      <c r="F34" s="2"/>
      <c r="G34" s="621"/>
      <c r="H34" s="621"/>
      <c r="I34" s="17"/>
      <c r="J34" s="578" t="s">
        <v>99</v>
      </c>
      <c r="K34" s="621"/>
      <c r="L34" s="621"/>
      <c r="M34" s="621"/>
      <c r="N34" s="621"/>
      <c r="O34" s="621"/>
      <c r="P34" s="621"/>
    </row>
    <row r="35" spans="1:16">
      <c r="C35" s="17"/>
      <c r="D35" s="17"/>
      <c r="E35" s="17"/>
      <c r="F35" s="17"/>
    </row>
    <row r="36" spans="1:16">
      <c r="B36" s="17"/>
      <c r="C36" s="17"/>
      <c r="D36" s="17"/>
      <c r="E36" s="17"/>
      <c r="F36" s="17"/>
      <c r="J36" s="17"/>
    </row>
    <row r="37" spans="1:16">
      <c r="A37" s="318" t="s">
        <v>95</v>
      </c>
      <c r="B37" s="17"/>
      <c r="C37" s="17"/>
      <c r="D37" s="17"/>
      <c r="E37" s="17"/>
      <c r="F37" s="17"/>
      <c r="J37" s="17"/>
    </row>
    <row r="38" spans="1:16">
      <c r="A38" s="318"/>
      <c r="B38" s="17"/>
      <c r="C38" s="17"/>
      <c r="D38" s="17"/>
      <c r="E38" s="17"/>
      <c r="F38" s="17"/>
      <c r="J38" s="17"/>
    </row>
    <row r="39" spans="1:16">
      <c r="B39" s="17"/>
      <c r="C39" s="17"/>
      <c r="D39" s="17"/>
      <c r="E39" s="17"/>
      <c r="F39" s="17"/>
    </row>
    <row r="40" spans="1:16" ht="12.75" customHeight="1">
      <c r="B40" s="861" t="s">
        <v>0</v>
      </c>
      <c r="C40" s="855" t="s">
        <v>6</v>
      </c>
      <c r="D40" s="856"/>
      <c r="E40" s="856"/>
      <c r="F40" s="856"/>
      <c r="G40" s="860"/>
      <c r="H40" s="855" t="s">
        <v>7</v>
      </c>
      <c r="I40" s="856"/>
      <c r="J40" s="856"/>
      <c r="K40" s="856"/>
      <c r="L40" s="860"/>
    </row>
    <row r="41" spans="1:16" ht="21">
      <c r="B41" s="862"/>
      <c r="C41" s="864" t="s">
        <v>88</v>
      </c>
      <c r="D41" s="864" t="s">
        <v>89</v>
      </c>
      <c r="E41" s="691" t="s">
        <v>90</v>
      </c>
      <c r="F41" s="691" t="s">
        <v>91</v>
      </c>
      <c r="G41" s="691" t="s">
        <v>26</v>
      </c>
      <c r="H41" s="864" t="s">
        <v>88</v>
      </c>
      <c r="I41" s="864" t="s">
        <v>89</v>
      </c>
      <c r="J41" s="691" t="s">
        <v>90</v>
      </c>
      <c r="K41" s="691" t="s">
        <v>91</v>
      </c>
      <c r="L41" s="691" t="s">
        <v>26</v>
      </c>
    </row>
    <row r="42" spans="1:16">
      <c r="B42" s="863"/>
      <c r="C42" s="864"/>
      <c r="D42" s="864"/>
      <c r="E42" s="690" t="s">
        <v>5</v>
      </c>
      <c r="F42" s="690" t="s">
        <v>99</v>
      </c>
      <c r="G42" s="690" t="s">
        <v>342</v>
      </c>
      <c r="H42" s="864"/>
      <c r="I42" s="864"/>
      <c r="J42" s="690" t="s">
        <v>5</v>
      </c>
      <c r="K42" s="690" t="s">
        <v>99</v>
      </c>
      <c r="L42" s="690" t="s">
        <v>342</v>
      </c>
    </row>
    <row r="43" spans="1:16">
      <c r="B43" s="719">
        <v>2000</v>
      </c>
      <c r="C43" s="617">
        <v>36549</v>
      </c>
      <c r="D43" s="716" t="s">
        <v>92</v>
      </c>
      <c r="E43" s="618">
        <v>14216.702999999963</v>
      </c>
      <c r="F43" s="618">
        <v>2660</v>
      </c>
      <c r="G43" s="720">
        <f>E43/F43*1000</f>
        <v>5344.6251879699112</v>
      </c>
      <c r="H43" s="617">
        <v>36549</v>
      </c>
      <c r="I43" s="717" t="s">
        <v>93</v>
      </c>
      <c r="J43" s="618">
        <v>20603.654100000062</v>
      </c>
      <c r="K43" s="618">
        <v>3633.3</v>
      </c>
      <c r="L43" s="720">
        <f>J43/K43*1000</f>
        <v>5670.7825117661796</v>
      </c>
    </row>
    <row r="44" spans="1:16">
      <c r="B44" s="719">
        <v>2001</v>
      </c>
      <c r="C44" s="617">
        <v>36927</v>
      </c>
      <c r="D44" s="716" t="s">
        <v>92</v>
      </c>
      <c r="E44" s="618">
        <v>14557.4414</v>
      </c>
      <c r="F44" s="618">
        <v>2659.7</v>
      </c>
      <c r="G44" s="720">
        <f t="shared" ref="G44:G58" si="4">E44/F44*1000</f>
        <v>5473.339624769711</v>
      </c>
      <c r="H44" s="617">
        <v>36927</v>
      </c>
      <c r="I44" s="717" t="s">
        <v>94</v>
      </c>
      <c r="J44" s="618">
        <v>20615.031600000009</v>
      </c>
      <c r="K44" s="618">
        <v>3684.7</v>
      </c>
      <c r="L44" s="720">
        <f t="shared" ref="L44:L58" si="5">J44/K44*1000</f>
        <v>5594.765272613784</v>
      </c>
    </row>
    <row r="45" spans="1:16">
      <c r="B45" s="719">
        <v>2002</v>
      </c>
      <c r="C45" s="617">
        <v>37259</v>
      </c>
      <c r="D45" s="716" t="s">
        <v>92</v>
      </c>
      <c r="E45" s="618">
        <v>14329.652699999995</v>
      </c>
      <c r="F45" s="618">
        <v>2682.7</v>
      </c>
      <c r="G45" s="720">
        <f t="shared" si="4"/>
        <v>5341.5039698810888</v>
      </c>
      <c r="H45" s="617">
        <v>37600</v>
      </c>
      <c r="I45" s="718" t="s">
        <v>92</v>
      </c>
      <c r="J45" s="618">
        <v>20528.630599999982</v>
      </c>
      <c r="K45" s="618">
        <v>3655.8</v>
      </c>
      <c r="L45" s="720">
        <f t="shared" si="5"/>
        <v>5615.3593194376008</v>
      </c>
    </row>
    <row r="46" spans="1:16">
      <c r="B46" s="719">
        <v>2003</v>
      </c>
      <c r="C46" s="617">
        <v>37628</v>
      </c>
      <c r="D46" s="716" t="s">
        <v>92</v>
      </c>
      <c r="E46" s="618">
        <v>14171.912599999991</v>
      </c>
      <c r="F46" s="618">
        <v>2665.1</v>
      </c>
      <c r="G46" s="720">
        <f t="shared" si="4"/>
        <v>5317.5913098945603</v>
      </c>
      <c r="H46" s="617">
        <v>37630</v>
      </c>
      <c r="I46" s="718" t="s">
        <v>92</v>
      </c>
      <c r="J46" s="618">
        <v>20647.712499999969</v>
      </c>
      <c r="K46" s="618">
        <v>3745</v>
      </c>
      <c r="L46" s="720">
        <f t="shared" si="5"/>
        <v>5513.4078771695513</v>
      </c>
    </row>
    <row r="47" spans="1:16">
      <c r="B47" s="719">
        <v>2004</v>
      </c>
      <c r="C47" s="617">
        <v>37992</v>
      </c>
      <c r="D47" s="716" t="s">
        <v>92</v>
      </c>
      <c r="E47" s="618">
        <v>14256.200700000056</v>
      </c>
      <c r="F47" s="618">
        <v>2628.4</v>
      </c>
      <c r="G47" s="720">
        <f t="shared" si="4"/>
        <v>5423.90834728354</v>
      </c>
      <c r="H47" s="617">
        <v>38013</v>
      </c>
      <c r="I47" s="717" t="s">
        <v>93</v>
      </c>
      <c r="J47" s="618">
        <v>20852.91880000001</v>
      </c>
      <c r="K47" s="618">
        <v>3618</v>
      </c>
      <c r="L47" s="720">
        <f t="shared" si="5"/>
        <v>5763.6591487009428</v>
      </c>
    </row>
    <row r="48" spans="1:16">
      <c r="B48" s="719">
        <v>2005</v>
      </c>
      <c r="C48" s="617">
        <v>38377</v>
      </c>
      <c r="D48" s="716" t="s">
        <v>92</v>
      </c>
      <c r="E48" s="618">
        <v>14445.745100000026</v>
      </c>
      <c r="F48" s="618">
        <v>2618.9</v>
      </c>
      <c r="G48" s="720">
        <f t="shared" si="4"/>
        <v>5515.9590285998029</v>
      </c>
      <c r="H48" s="617">
        <v>38685</v>
      </c>
      <c r="I48" s="718" t="s">
        <v>92</v>
      </c>
      <c r="J48" s="618">
        <v>21008.149400000024</v>
      </c>
      <c r="K48" s="618">
        <v>3697.6</v>
      </c>
      <c r="L48" s="720">
        <f t="shared" si="5"/>
        <v>5681.5635547382153</v>
      </c>
    </row>
    <row r="49" spans="2:17">
      <c r="B49" s="719">
        <v>2006</v>
      </c>
      <c r="C49" s="617">
        <v>38741</v>
      </c>
      <c r="D49" s="716" t="s">
        <v>92</v>
      </c>
      <c r="E49" s="618">
        <v>14577.284200000024</v>
      </c>
      <c r="F49" s="618">
        <v>2687.6</v>
      </c>
      <c r="G49" s="720">
        <f t="shared" si="4"/>
        <v>5423.9039291561339</v>
      </c>
      <c r="H49" s="617">
        <v>38721</v>
      </c>
      <c r="I49" s="718" t="s">
        <v>92</v>
      </c>
      <c r="J49" s="618">
        <v>21397.742300000045</v>
      </c>
      <c r="K49" s="618">
        <v>3754.3</v>
      </c>
      <c r="L49" s="720">
        <f t="shared" si="5"/>
        <v>5699.5291532376323</v>
      </c>
    </row>
    <row r="50" spans="2:17">
      <c r="B50" s="719">
        <v>2007</v>
      </c>
      <c r="C50" s="617">
        <v>39107</v>
      </c>
      <c r="D50" s="716" t="s">
        <v>92</v>
      </c>
      <c r="E50" s="618">
        <v>14515.893500000046</v>
      </c>
      <c r="F50" s="618">
        <v>2669.4</v>
      </c>
      <c r="G50" s="720">
        <f t="shared" si="4"/>
        <v>5437.8862291151736</v>
      </c>
      <c r="H50" s="617">
        <v>39433</v>
      </c>
      <c r="I50" s="718" t="s">
        <v>92</v>
      </c>
      <c r="J50" s="618">
        <v>21595.50769999998</v>
      </c>
      <c r="K50" s="618">
        <v>3766.6</v>
      </c>
      <c r="L50" s="720">
        <f t="shared" si="5"/>
        <v>5733.4221048160089</v>
      </c>
    </row>
    <row r="51" spans="2:17">
      <c r="B51" s="719">
        <v>2008</v>
      </c>
      <c r="C51" s="617">
        <v>39450</v>
      </c>
      <c r="D51" s="716" t="s">
        <v>92</v>
      </c>
      <c r="E51" s="618">
        <v>14476.731799999981</v>
      </c>
      <c r="F51" s="618">
        <v>2660</v>
      </c>
      <c r="G51" s="720">
        <f t="shared" si="4"/>
        <v>5442.3803759398425</v>
      </c>
      <c r="H51" s="617">
        <v>39450</v>
      </c>
      <c r="I51" s="718" t="s">
        <v>92</v>
      </c>
      <c r="J51" s="618">
        <v>21622.135500000088</v>
      </c>
      <c r="K51" s="618">
        <v>3747.9</v>
      </c>
      <c r="L51" s="720">
        <f t="shared" si="5"/>
        <v>5769.1335147682939</v>
      </c>
    </row>
    <row r="52" spans="2:17">
      <c r="B52" s="719">
        <v>2009</v>
      </c>
      <c r="C52" s="617">
        <v>39818</v>
      </c>
      <c r="D52" s="716" t="s">
        <v>92</v>
      </c>
      <c r="E52" s="618">
        <v>14050.927199999947</v>
      </c>
      <c r="F52" s="618">
        <v>2614.1999999999998</v>
      </c>
      <c r="G52" s="720">
        <f t="shared" si="4"/>
        <v>5374.8478310764094</v>
      </c>
      <c r="H52" s="617">
        <v>39819</v>
      </c>
      <c r="I52" s="718" t="s">
        <v>92</v>
      </c>
      <c r="J52" s="618">
        <v>20555.025700000046</v>
      </c>
      <c r="K52" s="618">
        <v>3677.4</v>
      </c>
      <c r="L52" s="720">
        <f t="shared" si="5"/>
        <v>5589.5539511611596</v>
      </c>
    </row>
    <row r="53" spans="2:17">
      <c r="B53" s="719">
        <v>2010</v>
      </c>
      <c r="C53" s="617">
        <v>40526</v>
      </c>
      <c r="D53" s="716" t="s">
        <v>92</v>
      </c>
      <c r="E53" s="618">
        <v>14376.106900000032</v>
      </c>
      <c r="F53" s="618">
        <v>2615.4</v>
      </c>
      <c r="G53" s="720">
        <f t="shared" si="4"/>
        <v>5496.7144222681163</v>
      </c>
      <c r="H53" s="617">
        <v>40513</v>
      </c>
      <c r="I53" s="718" t="s">
        <v>92</v>
      </c>
      <c r="J53" s="618">
        <v>21120.620499999965</v>
      </c>
      <c r="K53" s="618">
        <v>3743.1</v>
      </c>
      <c r="L53" s="720">
        <f t="shared" si="5"/>
        <v>5642.5477545350022</v>
      </c>
    </row>
    <row r="54" spans="2:17">
      <c r="B54" s="719">
        <v>2011</v>
      </c>
      <c r="C54" s="617">
        <v>40548</v>
      </c>
      <c r="D54" s="716" t="s">
        <v>92</v>
      </c>
      <c r="E54" s="618">
        <v>13888.455699999908</v>
      </c>
      <c r="F54" s="618">
        <v>2555.6999999999998</v>
      </c>
      <c r="G54" s="720">
        <f t="shared" si="4"/>
        <v>5434.3059435770665</v>
      </c>
      <c r="H54" s="617">
        <v>40548</v>
      </c>
      <c r="I54" s="718" t="s">
        <v>92</v>
      </c>
      <c r="J54" s="618">
        <v>20707.453900000048</v>
      </c>
      <c r="K54" s="618">
        <v>3665.3</v>
      </c>
      <c r="L54" s="720">
        <f t="shared" si="5"/>
        <v>5649.5931847325046</v>
      </c>
    </row>
    <row r="55" spans="2:17" ht="13.5" customHeight="1">
      <c r="B55" s="719">
        <v>2012</v>
      </c>
      <c r="C55" s="617">
        <v>40945</v>
      </c>
      <c r="D55" s="716" t="s">
        <v>92</v>
      </c>
      <c r="E55" s="618">
        <v>13698.185700000067</v>
      </c>
      <c r="F55" s="618">
        <v>2558.6999999999998</v>
      </c>
      <c r="G55" s="720">
        <f t="shared" si="4"/>
        <v>5353.5724000469254</v>
      </c>
      <c r="H55" s="617">
        <v>40946</v>
      </c>
      <c r="I55" s="717" t="s">
        <v>93</v>
      </c>
      <c r="J55" s="618">
        <v>20442.01549999995</v>
      </c>
      <c r="K55" s="618">
        <v>3676.5</v>
      </c>
      <c r="L55" s="720">
        <f t="shared" si="5"/>
        <v>5560.1837345301101</v>
      </c>
    </row>
    <row r="56" spans="2:17">
      <c r="B56" s="719">
        <v>2013</v>
      </c>
      <c r="C56" s="617">
        <v>41290</v>
      </c>
      <c r="D56" s="716" t="s">
        <v>92</v>
      </c>
      <c r="E56" s="618">
        <v>13465.046000000028</v>
      </c>
      <c r="F56" s="618">
        <v>2521.1999999999998</v>
      </c>
      <c r="G56" s="720">
        <f t="shared" si="4"/>
        <v>5340.7290179279826</v>
      </c>
      <c r="H56" s="617">
        <v>41290</v>
      </c>
      <c r="I56" s="718" t="s">
        <v>92</v>
      </c>
      <c r="J56" s="618">
        <v>20105.781999999905</v>
      </c>
      <c r="K56" s="618">
        <v>3562.8</v>
      </c>
      <c r="L56" s="720">
        <f t="shared" si="5"/>
        <v>5643.2530593914626</v>
      </c>
    </row>
    <row r="57" spans="2:17">
      <c r="B57" s="719">
        <v>2014</v>
      </c>
      <c r="C57" s="617">
        <v>41668</v>
      </c>
      <c r="D57" s="716" t="s">
        <v>92</v>
      </c>
      <c r="E57" s="618">
        <v>13319.237399999996</v>
      </c>
      <c r="F57" s="618">
        <v>2500.1</v>
      </c>
      <c r="G57" s="720">
        <f t="shared" si="4"/>
        <v>5327.4818607255693</v>
      </c>
      <c r="H57" s="617">
        <v>41669</v>
      </c>
      <c r="I57" s="717" t="s">
        <v>92</v>
      </c>
      <c r="J57" s="618">
        <v>20123.553399999888</v>
      </c>
      <c r="K57" s="618">
        <v>3540.7</v>
      </c>
      <c r="L57" s="720">
        <f t="shared" si="5"/>
        <v>5683.4957494280479</v>
      </c>
      <c r="M57" s="89"/>
    </row>
    <row r="58" spans="2:17">
      <c r="B58" s="721">
        <v>2015</v>
      </c>
      <c r="C58" s="619">
        <v>42024</v>
      </c>
      <c r="D58" s="722" t="s">
        <v>92</v>
      </c>
      <c r="E58" s="620">
        <v>13311.223099999974</v>
      </c>
      <c r="F58" s="620">
        <v>2337.1999999999998</v>
      </c>
      <c r="G58" s="724">
        <f t="shared" si="4"/>
        <v>5695.3718552113532</v>
      </c>
      <c r="H58" s="619">
        <v>42019</v>
      </c>
      <c r="I58" s="723" t="s">
        <v>341</v>
      </c>
      <c r="J58" s="620">
        <v>20305.109800000071</v>
      </c>
      <c r="K58" s="620">
        <v>3427</v>
      </c>
      <c r="L58" s="724">
        <f t="shared" si="5"/>
        <v>5925.0393346950896</v>
      </c>
      <c r="M58" s="89"/>
    </row>
    <row r="59" spans="2:17">
      <c r="B59" s="622" t="s">
        <v>343</v>
      </c>
      <c r="C59" s="17"/>
      <c r="D59" s="17"/>
      <c r="E59" s="17"/>
      <c r="F59" s="17"/>
      <c r="G59" s="6"/>
      <c r="H59" s="12"/>
    </row>
    <row r="61" spans="2:17">
      <c r="N61" s="17"/>
      <c r="O61" s="17"/>
      <c r="P61" s="17"/>
      <c r="Q61" s="13"/>
    </row>
    <row r="62" spans="2:17">
      <c r="B62"/>
      <c r="N62" s="17"/>
      <c r="O62" s="17"/>
      <c r="P62" s="17"/>
      <c r="Q62" s="13"/>
    </row>
    <row r="63" spans="2:17">
      <c r="B63"/>
      <c r="C63"/>
      <c r="D63"/>
      <c r="N63" s="17"/>
      <c r="O63" s="17"/>
      <c r="P63" s="17"/>
      <c r="Q63" s="13"/>
    </row>
    <row r="64" spans="2:17">
      <c r="B64"/>
      <c r="C64"/>
      <c r="D64"/>
      <c r="N64" s="17"/>
      <c r="O64" s="17"/>
      <c r="P64" s="17"/>
      <c r="Q64" s="13"/>
    </row>
    <row r="65" spans="2:17">
      <c r="B65"/>
      <c r="C65"/>
      <c r="D65"/>
      <c r="N65" s="17"/>
      <c r="O65" s="17"/>
      <c r="P65" s="17"/>
      <c r="Q65" s="17"/>
    </row>
    <row r="66" spans="2:17">
      <c r="N66" s="17"/>
      <c r="O66" s="17"/>
      <c r="P66" s="17"/>
      <c r="Q66" s="17"/>
    </row>
    <row r="67" spans="2:17">
      <c r="N67" s="17"/>
      <c r="O67" s="17"/>
      <c r="P67" s="17"/>
      <c r="Q67" s="6"/>
    </row>
    <row r="68" spans="2:17">
      <c r="N68" s="17"/>
      <c r="O68" s="17"/>
      <c r="P68" s="17"/>
      <c r="Q68" s="6"/>
    </row>
    <row r="69" spans="2:17">
      <c r="N69" s="17"/>
      <c r="O69" s="17"/>
      <c r="P69" s="17"/>
      <c r="Q69" s="13"/>
    </row>
    <row r="70" spans="2:17">
      <c r="N70" s="17"/>
      <c r="O70" s="17"/>
      <c r="P70" s="17"/>
      <c r="Q70" s="13"/>
    </row>
    <row r="71" spans="2:17">
      <c r="Q71" s="13"/>
    </row>
    <row r="72" spans="2:17">
      <c r="Q72" s="13"/>
    </row>
    <row r="73" spans="2:17">
      <c r="Q73" s="13"/>
    </row>
    <row r="74" spans="2:17">
      <c r="Q74" s="13"/>
    </row>
    <row r="75" spans="2:17">
      <c r="Q75" s="13"/>
    </row>
    <row r="76" spans="2:17">
      <c r="Q76" s="13"/>
    </row>
    <row r="77" spans="2:17">
      <c r="Q77" s="13"/>
    </row>
    <row r="78" spans="2:17">
      <c r="Q78" s="13"/>
    </row>
    <row r="79" spans="2:17">
      <c r="Q79" s="13"/>
    </row>
    <row r="80" spans="2:17">
      <c r="Q80" s="13"/>
    </row>
  </sheetData>
  <mergeCells count="17">
    <mergeCell ref="G6:H6"/>
    <mergeCell ref="B5:H5"/>
    <mergeCell ref="J5:P5"/>
    <mergeCell ref="K6:L6"/>
    <mergeCell ref="M6:N6"/>
    <mergeCell ref="O6:P6"/>
    <mergeCell ref="C6:D6"/>
    <mergeCell ref="E6:F6"/>
    <mergeCell ref="B6:B8"/>
    <mergeCell ref="J6:J8"/>
    <mergeCell ref="B40:B42"/>
    <mergeCell ref="C41:C42"/>
    <mergeCell ref="D41:D42"/>
    <mergeCell ref="H41:H42"/>
    <mergeCell ref="I41:I42"/>
    <mergeCell ref="C40:G40"/>
    <mergeCell ref="H40:L40"/>
  </mergeCells>
  <phoneticPr fontId="13" type="noConversion"/>
  <hyperlinks>
    <hyperlink ref="A2" location="Indholdsfortegnelse!A1" display="Indholdsfortegnelse"/>
  </hyperlinks>
  <pageMargins left="0.75" right="0.75" top="1" bottom="1" header="0" footer="0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>
    <tabColor theme="5" tint="0.39997558519241921"/>
  </sheetPr>
  <dimension ref="A1:AK36"/>
  <sheetViews>
    <sheetView workbookViewId="0"/>
  </sheetViews>
  <sheetFormatPr defaultRowHeight="12.75"/>
  <cols>
    <col min="2" max="2" width="9.140625" customWidth="1"/>
    <col min="3" max="4" width="10.7109375" customWidth="1"/>
    <col min="5" max="5" width="10.5703125" customWidth="1"/>
    <col min="6" max="7" width="10.7109375" customWidth="1"/>
    <col min="8" max="8" width="10.5703125" customWidth="1"/>
    <col min="9" max="11" width="10.5703125" style="689" customWidth="1"/>
    <col min="12" max="13" width="10.7109375" customWidth="1"/>
    <col min="14" max="14" width="10.5703125" customWidth="1"/>
    <col min="15" max="16" width="10.7109375" customWidth="1"/>
    <col min="17" max="17" width="10.5703125" customWidth="1"/>
    <col min="18" max="20" width="10.5703125" style="689" customWidth="1"/>
    <col min="21" max="22" width="10.7109375" customWidth="1"/>
    <col min="23" max="23" width="10.5703125" customWidth="1"/>
    <col min="24" max="25" width="10.7109375" customWidth="1"/>
    <col min="26" max="26" width="10.5703125" customWidth="1"/>
    <col min="27" max="28" width="10.7109375" customWidth="1"/>
    <col min="29" max="29" width="10.5703125" customWidth="1"/>
    <col min="31" max="31" width="9.140625" style="689"/>
  </cols>
  <sheetData>
    <row r="1" spans="1:37">
      <c r="A1" s="130" t="s">
        <v>104</v>
      </c>
    </row>
    <row r="2" spans="1:37">
      <c r="A2" s="132" t="s">
        <v>56</v>
      </c>
    </row>
    <row r="3" spans="1:37">
      <c r="A3" s="318" t="s">
        <v>1</v>
      </c>
    </row>
    <row r="6" spans="1:37">
      <c r="B6" s="847" t="s">
        <v>0</v>
      </c>
      <c r="C6" s="875" t="s">
        <v>6</v>
      </c>
      <c r="D6" s="877"/>
      <c r="E6" s="877"/>
      <c r="F6" s="877"/>
      <c r="G6" s="877"/>
      <c r="H6" s="877"/>
      <c r="I6" s="877"/>
      <c r="J6" s="877"/>
      <c r="K6" s="878"/>
      <c r="L6" s="875" t="s">
        <v>7</v>
      </c>
      <c r="M6" s="877"/>
      <c r="N6" s="877"/>
      <c r="O6" s="877"/>
      <c r="P6" s="877"/>
      <c r="Q6" s="877"/>
      <c r="R6" s="877"/>
      <c r="S6" s="877"/>
      <c r="T6" s="878"/>
      <c r="U6" s="875" t="s">
        <v>10</v>
      </c>
      <c r="V6" s="877"/>
      <c r="W6" s="877"/>
      <c r="X6" s="877"/>
      <c r="Y6" s="877"/>
      <c r="Z6" s="877"/>
      <c r="AA6" s="877"/>
      <c r="AB6" s="877"/>
      <c r="AC6" s="878"/>
    </row>
    <row r="7" spans="1:37">
      <c r="B7" s="879"/>
      <c r="C7" s="875" t="s">
        <v>378</v>
      </c>
      <c r="D7" s="877"/>
      <c r="E7" s="878"/>
      <c r="F7" s="875" t="s">
        <v>377</v>
      </c>
      <c r="G7" s="877"/>
      <c r="H7" s="878"/>
      <c r="I7" s="875" t="s">
        <v>379</v>
      </c>
      <c r="J7" s="877"/>
      <c r="K7" s="878"/>
      <c r="L7" s="875" t="s">
        <v>378</v>
      </c>
      <c r="M7" s="877"/>
      <c r="N7" s="878"/>
      <c r="O7" s="875" t="s">
        <v>377</v>
      </c>
      <c r="P7" s="877"/>
      <c r="Q7" s="878"/>
      <c r="R7" s="875" t="s">
        <v>379</v>
      </c>
      <c r="S7" s="877"/>
      <c r="T7" s="878"/>
      <c r="U7" s="875" t="s">
        <v>378</v>
      </c>
      <c r="V7" s="877"/>
      <c r="W7" s="878"/>
      <c r="X7" s="875" t="s">
        <v>377</v>
      </c>
      <c r="Y7" s="877"/>
      <c r="Z7" s="878"/>
      <c r="AA7" s="875" t="s">
        <v>379</v>
      </c>
      <c r="AB7" s="877"/>
      <c r="AC7" s="878"/>
      <c r="AE7" s="875" t="s">
        <v>0</v>
      </c>
      <c r="AF7" s="876" t="s">
        <v>403</v>
      </c>
      <c r="AG7" s="876"/>
      <c r="AH7" s="876" t="s">
        <v>404</v>
      </c>
      <c r="AI7" s="876"/>
      <c r="AJ7" s="876" t="s">
        <v>405</v>
      </c>
      <c r="AK7" s="876"/>
    </row>
    <row r="8" spans="1:37" ht="21">
      <c r="B8" s="879"/>
      <c r="C8" s="684" t="s">
        <v>60</v>
      </c>
      <c r="D8" s="684" t="s">
        <v>381</v>
      </c>
      <c r="E8" s="67" t="s">
        <v>26</v>
      </c>
      <c r="F8" s="684" t="s">
        <v>60</v>
      </c>
      <c r="G8" s="684" t="s">
        <v>381</v>
      </c>
      <c r="H8" s="67" t="s">
        <v>26</v>
      </c>
      <c r="I8" s="684" t="s">
        <v>60</v>
      </c>
      <c r="J8" s="684" t="s">
        <v>381</v>
      </c>
      <c r="K8" s="67" t="s">
        <v>26</v>
      </c>
      <c r="L8" s="684" t="s">
        <v>60</v>
      </c>
      <c r="M8" s="684" t="s">
        <v>381</v>
      </c>
      <c r="N8" s="67" t="s">
        <v>26</v>
      </c>
      <c r="O8" s="684" t="s">
        <v>60</v>
      </c>
      <c r="P8" s="684" t="s">
        <v>381</v>
      </c>
      <c r="Q8" s="67" t="s">
        <v>26</v>
      </c>
      <c r="R8" s="684" t="s">
        <v>60</v>
      </c>
      <c r="S8" s="684" t="s">
        <v>381</v>
      </c>
      <c r="T8" s="67" t="s">
        <v>26</v>
      </c>
      <c r="U8" s="684" t="s">
        <v>60</v>
      </c>
      <c r="V8" s="684" t="s">
        <v>381</v>
      </c>
      <c r="W8" s="67" t="s">
        <v>26</v>
      </c>
      <c r="X8" s="684" t="s">
        <v>60</v>
      </c>
      <c r="Y8" s="684" t="s">
        <v>381</v>
      </c>
      <c r="Z8" s="67" t="s">
        <v>26</v>
      </c>
      <c r="AA8" s="684" t="s">
        <v>60</v>
      </c>
      <c r="AB8" s="684" t="s">
        <v>381</v>
      </c>
      <c r="AC8" s="67" t="s">
        <v>26</v>
      </c>
      <c r="AE8" s="875"/>
      <c r="AF8" s="692" t="s">
        <v>399</v>
      </c>
      <c r="AG8" s="692" t="s">
        <v>400</v>
      </c>
      <c r="AH8" s="692" t="s">
        <v>399</v>
      </c>
      <c r="AI8" s="692" t="s">
        <v>400</v>
      </c>
      <c r="AJ8" s="692" t="s">
        <v>399</v>
      </c>
      <c r="AK8" s="692" t="s">
        <v>400</v>
      </c>
    </row>
    <row r="9" spans="1:37">
      <c r="B9" s="848"/>
      <c r="C9" s="684" t="s">
        <v>380</v>
      </c>
      <c r="D9" s="684" t="s">
        <v>155</v>
      </c>
      <c r="E9" s="684" t="s">
        <v>342</v>
      </c>
      <c r="F9" s="684" t="s">
        <v>380</v>
      </c>
      <c r="G9" s="684" t="s">
        <v>155</v>
      </c>
      <c r="H9" s="684" t="s">
        <v>342</v>
      </c>
      <c r="I9" s="684" t="s">
        <v>380</v>
      </c>
      <c r="J9" s="684" t="s">
        <v>155</v>
      </c>
      <c r="K9" s="684" t="s">
        <v>342</v>
      </c>
      <c r="L9" s="684" t="s">
        <v>380</v>
      </c>
      <c r="M9" s="684" t="s">
        <v>155</v>
      </c>
      <c r="N9" s="684" t="s">
        <v>342</v>
      </c>
      <c r="O9" s="684" t="s">
        <v>380</v>
      </c>
      <c r="P9" s="684" t="s">
        <v>155</v>
      </c>
      <c r="Q9" s="684" t="s">
        <v>342</v>
      </c>
      <c r="R9" s="684" t="s">
        <v>380</v>
      </c>
      <c r="S9" s="684" t="s">
        <v>155</v>
      </c>
      <c r="T9" s="684" t="s">
        <v>342</v>
      </c>
      <c r="U9" s="684" t="s">
        <v>380</v>
      </c>
      <c r="V9" s="684" t="s">
        <v>155</v>
      </c>
      <c r="W9" s="684" t="s">
        <v>342</v>
      </c>
      <c r="X9" s="684" t="s">
        <v>380</v>
      </c>
      <c r="Y9" s="684" t="s">
        <v>155</v>
      </c>
      <c r="Z9" s="684" t="s">
        <v>342</v>
      </c>
      <c r="AA9" s="684" t="s">
        <v>380</v>
      </c>
      <c r="AB9" s="684" t="s">
        <v>155</v>
      </c>
      <c r="AC9" s="684" t="s">
        <v>342</v>
      </c>
      <c r="AE9" s="875"/>
      <c r="AF9" s="692" t="s">
        <v>385</v>
      </c>
      <c r="AG9" s="692" t="s">
        <v>385</v>
      </c>
      <c r="AH9" s="692" t="s">
        <v>385</v>
      </c>
      <c r="AI9" s="692" t="s">
        <v>385</v>
      </c>
      <c r="AJ9" s="692" t="s">
        <v>155</v>
      </c>
      <c r="AK9" s="692" t="s">
        <v>155</v>
      </c>
    </row>
    <row r="10" spans="1:37">
      <c r="B10" s="712">
        <v>2016</v>
      </c>
      <c r="C10" s="9">
        <v>0.93333828959433007</v>
      </c>
      <c r="D10" s="7">
        <v>2.1317442037732492</v>
      </c>
      <c r="E10" s="70">
        <f>D10/C10*1000</f>
        <v>2283.9995182237722</v>
      </c>
      <c r="F10" s="9">
        <v>0.16666666666666669</v>
      </c>
      <c r="G10" s="7">
        <v>1.0370509541136199</v>
      </c>
      <c r="H10" s="70">
        <f>G10/F10*1000</f>
        <v>6222.3057246817189</v>
      </c>
      <c r="I10" s="7">
        <f>C10+F10</f>
        <v>1.1000049562609968</v>
      </c>
      <c r="J10" s="7">
        <f>D10+G10</f>
        <v>3.1687951578868692</v>
      </c>
      <c r="K10" s="7">
        <f>J10/I10*1000</f>
        <v>2880.7098912152655</v>
      </c>
      <c r="L10" s="9">
        <v>1.0666617104056699</v>
      </c>
      <c r="M10" s="7">
        <v>3.0830547064129288</v>
      </c>
      <c r="N10" s="70">
        <f>M10/L10*1000</f>
        <v>2890.3772173844973</v>
      </c>
      <c r="O10" s="9">
        <v>4.804484336780928</v>
      </c>
      <c r="P10" s="7">
        <v>36.847522615248295</v>
      </c>
      <c r="Q10" s="70">
        <f>P10/O10*1000</f>
        <v>7669.4021735403658</v>
      </c>
      <c r="R10" s="7">
        <f>L10+O10</f>
        <v>5.8711460471865982</v>
      </c>
      <c r="S10" s="7">
        <f>M10+P10</f>
        <v>39.930577321661225</v>
      </c>
      <c r="T10" s="7">
        <f>S10/R10*1000</f>
        <v>6801.1555155906253</v>
      </c>
      <c r="U10" s="9">
        <f>C10+L10</f>
        <v>2</v>
      </c>
      <c r="V10" s="7">
        <f>D10+M10</f>
        <v>5.214798910186178</v>
      </c>
      <c r="W10" s="70">
        <f>V10/U10*1000</f>
        <v>2607.3994550930888</v>
      </c>
      <c r="X10" s="9">
        <f>F10+O10</f>
        <v>4.971151003447595</v>
      </c>
      <c r="Y10" s="7">
        <f>G10+P10</f>
        <v>37.884573569361912</v>
      </c>
      <c r="Z10" s="70">
        <f>Y10/X10*1000</f>
        <v>7620.885694900071</v>
      </c>
      <c r="AA10" s="9">
        <f>U10+X10</f>
        <v>6.971151003447595</v>
      </c>
      <c r="AB10" s="7">
        <f>V10+Y10</f>
        <v>43.099372479548087</v>
      </c>
      <c r="AC10" s="70">
        <f>AB10/AA10*1000</f>
        <v>6182.5331940497663</v>
      </c>
      <c r="AE10" s="685">
        <v>2016</v>
      </c>
      <c r="AF10" s="726">
        <f>C10</f>
        <v>0.93333828959433007</v>
      </c>
      <c r="AG10" s="725">
        <f>L10</f>
        <v>1.0666617104056699</v>
      </c>
      <c r="AH10" s="726">
        <f>F10</f>
        <v>0.16666666666666669</v>
      </c>
      <c r="AI10" s="725">
        <f>O10</f>
        <v>4.804484336780928</v>
      </c>
      <c r="AJ10" s="726">
        <f>J10</f>
        <v>3.1687951578868692</v>
      </c>
      <c r="AK10" s="725">
        <f>S10</f>
        <v>39.930577321661225</v>
      </c>
    </row>
    <row r="11" spans="1:37">
      <c r="B11" s="713">
        <v>2017</v>
      </c>
      <c r="C11" s="9">
        <v>1.8666765791886601</v>
      </c>
      <c r="D11" s="7">
        <v>5.596069948323362</v>
      </c>
      <c r="E11" s="70">
        <f t="shared" ref="E11:E34" si="0">D11/C11*1000</f>
        <v>2997.8786955990313</v>
      </c>
      <c r="F11" s="9">
        <v>0.16666666666666669</v>
      </c>
      <c r="G11" s="7">
        <v>1.2521142857143299</v>
      </c>
      <c r="H11" s="70">
        <f t="shared" ref="H11:H34" si="1">G11/F11*1000</f>
        <v>7512.685714285979</v>
      </c>
      <c r="I11" s="7">
        <f t="shared" ref="I11:I34" si="2">C11+F11</f>
        <v>2.0333432458553267</v>
      </c>
      <c r="J11" s="7">
        <f t="shared" ref="J11:J34" si="3">D11+G11</f>
        <v>6.8481842340376922</v>
      </c>
      <c r="K11" s="7">
        <f t="shared" ref="K11:K34" si="4">J11/I11*1000</f>
        <v>3367.9430406040474</v>
      </c>
      <c r="L11" s="9">
        <v>2.1333234208113399</v>
      </c>
      <c r="M11" s="7">
        <v>8.8123374516626498</v>
      </c>
      <c r="N11" s="70">
        <f t="shared" ref="N11:N34" si="5">M11/L11*1000</f>
        <v>4130.8023742181413</v>
      </c>
      <c r="O11" s="9">
        <v>9.8427940268238139</v>
      </c>
      <c r="P11" s="7">
        <v>78.305597117949233</v>
      </c>
      <c r="Q11" s="70">
        <f t="shared" ref="Q11:Q34" si="6">P11/O11*1000</f>
        <v>7955.6269189976929</v>
      </c>
      <c r="R11" s="7">
        <f t="shared" ref="R11:R34" si="7">L11+O11</f>
        <v>11.976117447635154</v>
      </c>
      <c r="S11" s="7">
        <f t="shared" ref="S11:S34" si="8">M11+P11</f>
        <v>87.11793456961189</v>
      </c>
      <c r="T11" s="7">
        <f t="shared" ref="T11:T34" si="9">S11/R11*1000</f>
        <v>7274.3052955625872</v>
      </c>
      <c r="U11" s="9">
        <f t="shared" ref="U11:U34" si="10">C11+L11</f>
        <v>4</v>
      </c>
      <c r="V11" s="7">
        <f t="shared" ref="V11:V34" si="11">D11+M11</f>
        <v>14.408407399986011</v>
      </c>
      <c r="W11" s="70">
        <f t="shared" ref="W11:W34" si="12">V11/U11*1000</f>
        <v>3602.1018499965026</v>
      </c>
      <c r="X11" s="9">
        <f t="shared" ref="X11:X34" si="13">F11+O11</f>
        <v>10.00946069349048</v>
      </c>
      <c r="Y11" s="7">
        <f t="shared" ref="Y11:Y34" si="14">G11+P11</f>
        <v>79.557711403663561</v>
      </c>
      <c r="Z11" s="70">
        <f t="shared" ref="Z11:Z34" si="15">Y11/X11*1000</f>
        <v>7948.2515432028076</v>
      </c>
      <c r="AA11" s="9">
        <f t="shared" ref="AA11:AA34" si="16">U11+X11</f>
        <v>14.00946069349048</v>
      </c>
      <c r="AB11" s="7">
        <f t="shared" ref="AB11:AB34" si="17">V11+Y11</f>
        <v>93.966118803649579</v>
      </c>
      <c r="AC11" s="70">
        <f t="shared" ref="AC11:AC34" si="18">AB11/AA11*1000</f>
        <v>6707.3330558192793</v>
      </c>
      <c r="AE11" s="686">
        <v>2017</v>
      </c>
      <c r="AF11" s="9">
        <f t="shared" ref="AF11:AF34" si="19">C11</f>
        <v>1.8666765791886601</v>
      </c>
      <c r="AG11" s="70">
        <f t="shared" ref="AG11:AG34" si="20">L11</f>
        <v>2.1333234208113399</v>
      </c>
      <c r="AH11" s="9">
        <f t="shared" ref="AH11:AH34" si="21">F11</f>
        <v>0.16666666666666669</v>
      </c>
      <c r="AI11" s="70">
        <f t="shared" ref="AI11:AI34" si="22">O11</f>
        <v>9.8427940268238139</v>
      </c>
      <c r="AJ11" s="9">
        <f t="shared" ref="AJ11:AJ34" si="23">J11</f>
        <v>6.8481842340376922</v>
      </c>
      <c r="AK11" s="70">
        <f t="shared" ref="AK11:AK34" si="24">S11</f>
        <v>87.11793456961189</v>
      </c>
    </row>
    <row r="12" spans="1:37">
      <c r="B12" s="713">
        <v>2018</v>
      </c>
      <c r="C12" s="9">
        <v>2.8000148687829904</v>
      </c>
      <c r="D12" s="7">
        <v>8.7928496621390977</v>
      </c>
      <c r="E12" s="70">
        <f t="shared" si="0"/>
        <v>3140.2867749630404</v>
      </c>
      <c r="F12" s="9">
        <v>1.2238095238095239</v>
      </c>
      <c r="G12" s="7">
        <v>9.2203652024642899</v>
      </c>
      <c r="H12" s="70">
        <f t="shared" si="1"/>
        <v>7534.1505545428045</v>
      </c>
      <c r="I12" s="7">
        <f t="shared" si="2"/>
        <v>4.0238243925925143</v>
      </c>
      <c r="J12" s="7">
        <f t="shared" si="3"/>
        <v>18.013214864603388</v>
      </c>
      <c r="K12" s="7">
        <f t="shared" si="4"/>
        <v>4476.6404065157603</v>
      </c>
      <c r="L12" s="9">
        <v>3.1999851312170096</v>
      </c>
      <c r="M12" s="7">
        <v>13.354002231708732</v>
      </c>
      <c r="N12" s="70">
        <f t="shared" si="5"/>
        <v>4173.1450879054473</v>
      </c>
      <c r="O12" s="9">
        <v>13.656035112059813</v>
      </c>
      <c r="P12" s="7">
        <v>99.566394620969774</v>
      </c>
      <c r="Q12" s="70">
        <f t="shared" si="6"/>
        <v>7291.0177664263229</v>
      </c>
      <c r="R12" s="7">
        <f t="shared" si="7"/>
        <v>16.856020243276824</v>
      </c>
      <c r="S12" s="7">
        <f t="shared" si="8"/>
        <v>112.92039685267851</v>
      </c>
      <c r="T12" s="7">
        <f t="shared" si="9"/>
        <v>6699.1137423270375</v>
      </c>
      <c r="U12" s="9">
        <f t="shared" si="10"/>
        <v>6</v>
      </c>
      <c r="V12" s="7">
        <f t="shared" si="11"/>
        <v>22.146851893847831</v>
      </c>
      <c r="W12" s="70">
        <f t="shared" si="12"/>
        <v>3691.1419823079718</v>
      </c>
      <c r="X12" s="9">
        <f t="shared" si="13"/>
        <v>14.879844635869336</v>
      </c>
      <c r="Y12" s="7">
        <f t="shared" si="14"/>
        <v>108.78675982343407</v>
      </c>
      <c r="Z12" s="70">
        <f t="shared" si="15"/>
        <v>7311.0144954869238</v>
      </c>
      <c r="AA12" s="9">
        <f t="shared" si="16"/>
        <v>20.879844635869336</v>
      </c>
      <c r="AB12" s="7">
        <f t="shared" si="17"/>
        <v>130.93361171728191</v>
      </c>
      <c r="AC12" s="70">
        <f t="shared" si="18"/>
        <v>6270.8135046346079</v>
      </c>
      <c r="AE12" s="686">
        <v>2018</v>
      </c>
      <c r="AF12" s="9">
        <f t="shared" si="19"/>
        <v>2.8000148687829904</v>
      </c>
      <c r="AG12" s="70">
        <f t="shared" si="20"/>
        <v>3.1999851312170096</v>
      </c>
      <c r="AH12" s="9">
        <f t="shared" si="21"/>
        <v>1.2238095238095239</v>
      </c>
      <c r="AI12" s="70">
        <f t="shared" si="22"/>
        <v>13.656035112059813</v>
      </c>
      <c r="AJ12" s="9">
        <f t="shared" si="23"/>
        <v>18.013214864603388</v>
      </c>
      <c r="AK12" s="70">
        <f t="shared" si="24"/>
        <v>112.92039685267851</v>
      </c>
    </row>
    <row r="13" spans="1:37">
      <c r="B13" s="713">
        <v>2019</v>
      </c>
      <c r="C13" s="9">
        <v>3.7333531583773203</v>
      </c>
      <c r="D13" s="7">
        <v>14.08209315558824</v>
      </c>
      <c r="E13" s="70">
        <f t="shared" si="0"/>
        <v>3771.9692078927078</v>
      </c>
      <c r="F13" s="9">
        <v>3.3959765919601246</v>
      </c>
      <c r="G13" s="7">
        <v>18.836256189850619</v>
      </c>
      <c r="H13" s="70">
        <f t="shared" si="1"/>
        <v>5546.6389946399822</v>
      </c>
      <c r="I13" s="7">
        <f t="shared" si="2"/>
        <v>7.1293297503374449</v>
      </c>
      <c r="J13" s="7">
        <f t="shared" si="3"/>
        <v>32.918349345438855</v>
      </c>
      <c r="K13" s="7">
        <f t="shared" si="4"/>
        <v>4617.3133377483018</v>
      </c>
      <c r="L13" s="9">
        <v>4.2666468416226797</v>
      </c>
      <c r="M13" s="7">
        <v>17.396778124461179</v>
      </c>
      <c r="N13" s="70">
        <f t="shared" si="5"/>
        <v>4077.3888184860602</v>
      </c>
      <c r="O13" s="9">
        <v>16.604023408039875</v>
      </c>
      <c r="P13" s="7">
        <v>134.96343836588346</v>
      </c>
      <c r="Q13" s="70">
        <f t="shared" si="6"/>
        <v>8128.3575100558137</v>
      </c>
      <c r="R13" s="7">
        <f t="shared" si="7"/>
        <v>20.870670249662556</v>
      </c>
      <c r="S13" s="7">
        <f t="shared" si="8"/>
        <v>152.36021649034464</v>
      </c>
      <c r="T13" s="7">
        <f t="shared" si="9"/>
        <v>7300.2071647798684</v>
      </c>
      <c r="U13" s="9">
        <f t="shared" si="10"/>
        <v>8</v>
      </c>
      <c r="V13" s="7">
        <f t="shared" si="11"/>
        <v>31.478871280049418</v>
      </c>
      <c r="W13" s="70">
        <f t="shared" si="12"/>
        <v>3934.8589100061772</v>
      </c>
      <c r="X13" s="9">
        <f t="shared" si="13"/>
        <v>20</v>
      </c>
      <c r="Y13" s="7">
        <f t="shared" si="14"/>
        <v>153.79969455573408</v>
      </c>
      <c r="Z13" s="70">
        <f t="shared" si="15"/>
        <v>7689.9847277867038</v>
      </c>
      <c r="AA13" s="9">
        <f t="shared" si="16"/>
        <v>28</v>
      </c>
      <c r="AB13" s="7">
        <f t="shared" si="17"/>
        <v>185.2785658357835</v>
      </c>
      <c r="AC13" s="70">
        <f t="shared" si="18"/>
        <v>6617.0916369922679</v>
      </c>
      <c r="AE13" s="686">
        <v>2019</v>
      </c>
      <c r="AF13" s="9">
        <f t="shared" si="19"/>
        <v>3.7333531583773203</v>
      </c>
      <c r="AG13" s="70">
        <f t="shared" si="20"/>
        <v>4.2666468416226797</v>
      </c>
      <c r="AH13" s="9">
        <f t="shared" si="21"/>
        <v>3.3959765919601246</v>
      </c>
      <c r="AI13" s="70">
        <f t="shared" si="22"/>
        <v>16.604023408039875</v>
      </c>
      <c r="AJ13" s="9">
        <f t="shared" si="23"/>
        <v>32.918349345438855</v>
      </c>
      <c r="AK13" s="70">
        <f t="shared" si="24"/>
        <v>152.36021649034464</v>
      </c>
    </row>
    <row r="14" spans="1:37">
      <c r="B14" s="713">
        <v>2020</v>
      </c>
      <c r="C14" s="9">
        <v>4.6666914479716501</v>
      </c>
      <c r="D14" s="7">
        <v>16.082848869911629</v>
      </c>
      <c r="E14" s="70">
        <f t="shared" si="0"/>
        <v>3446.3064569871967</v>
      </c>
      <c r="F14" s="9">
        <v>6.25</v>
      </c>
      <c r="G14" s="7">
        <v>36.480169785833631</v>
      </c>
      <c r="H14" s="70">
        <f t="shared" si="1"/>
        <v>5836.8271657333817</v>
      </c>
      <c r="I14" s="7">
        <f t="shared" si="2"/>
        <v>10.916691447971651</v>
      </c>
      <c r="J14" s="7">
        <f t="shared" si="3"/>
        <v>52.56301865574526</v>
      </c>
      <c r="K14" s="7">
        <f t="shared" si="4"/>
        <v>4814.9220765520131</v>
      </c>
      <c r="L14" s="9">
        <v>5.3333085520283499</v>
      </c>
      <c r="M14" s="7">
        <v>22.638488390480457</v>
      </c>
      <c r="N14" s="70">
        <f t="shared" si="5"/>
        <v>4244.7362963597243</v>
      </c>
      <c r="O14" s="9">
        <v>18.75</v>
      </c>
      <c r="P14" s="7">
        <v>130.8123321966861</v>
      </c>
      <c r="Q14" s="70">
        <f t="shared" si="6"/>
        <v>6976.6577171565923</v>
      </c>
      <c r="R14" s="7">
        <f t="shared" si="7"/>
        <v>24.083308552028349</v>
      </c>
      <c r="S14" s="7">
        <f t="shared" si="8"/>
        <v>153.45082058716656</v>
      </c>
      <c r="T14" s="7">
        <f t="shared" si="9"/>
        <v>6371.6669267289108</v>
      </c>
      <c r="U14" s="9">
        <f t="shared" si="10"/>
        <v>10</v>
      </c>
      <c r="V14" s="7">
        <f t="shared" si="11"/>
        <v>38.72133726039209</v>
      </c>
      <c r="W14" s="70">
        <f t="shared" si="12"/>
        <v>3872.1337260392093</v>
      </c>
      <c r="X14" s="9">
        <f t="shared" si="13"/>
        <v>25</v>
      </c>
      <c r="Y14" s="7">
        <f t="shared" si="14"/>
        <v>167.29250198251972</v>
      </c>
      <c r="Z14" s="70">
        <f t="shared" si="15"/>
        <v>6691.7000793007892</v>
      </c>
      <c r="AA14" s="9">
        <f t="shared" si="16"/>
        <v>35</v>
      </c>
      <c r="AB14" s="7">
        <f t="shared" si="17"/>
        <v>206.01383924291181</v>
      </c>
      <c r="AC14" s="70">
        <f t="shared" si="18"/>
        <v>5886.1096926546234</v>
      </c>
      <c r="AE14" s="686">
        <v>2020</v>
      </c>
      <c r="AF14" s="9">
        <f t="shared" si="19"/>
        <v>4.6666914479716501</v>
      </c>
      <c r="AG14" s="70">
        <f t="shared" si="20"/>
        <v>5.3333085520283499</v>
      </c>
      <c r="AH14" s="9">
        <f t="shared" si="21"/>
        <v>6.25</v>
      </c>
      <c r="AI14" s="70">
        <f t="shared" si="22"/>
        <v>18.75</v>
      </c>
      <c r="AJ14" s="9">
        <f t="shared" si="23"/>
        <v>52.56301865574526</v>
      </c>
      <c r="AK14" s="70">
        <f t="shared" si="24"/>
        <v>153.45082058716656</v>
      </c>
    </row>
    <row r="15" spans="1:37">
      <c r="B15" s="713">
        <v>2021</v>
      </c>
      <c r="C15" s="9">
        <v>8.4000446063489704</v>
      </c>
      <c r="D15" s="7">
        <v>24.898282969603329</v>
      </c>
      <c r="E15" s="70">
        <f t="shared" si="0"/>
        <v>2964.0655658881337</v>
      </c>
      <c r="F15" s="9">
        <v>7.6666666666666661</v>
      </c>
      <c r="G15" s="7">
        <v>40.022007842745417</v>
      </c>
      <c r="H15" s="70">
        <f t="shared" si="1"/>
        <v>5220.2618925320121</v>
      </c>
      <c r="I15" s="7">
        <f t="shared" si="2"/>
        <v>16.066711273015635</v>
      </c>
      <c r="J15" s="7">
        <f t="shared" si="3"/>
        <v>64.920290812348753</v>
      </c>
      <c r="K15" s="7">
        <f t="shared" si="4"/>
        <v>4040.6707825380349</v>
      </c>
      <c r="L15" s="9">
        <v>9.5999553936510296</v>
      </c>
      <c r="M15" s="7">
        <v>38.86499716928418</v>
      </c>
      <c r="N15" s="70">
        <f t="shared" si="5"/>
        <v>4048.4560162631283</v>
      </c>
      <c r="O15" s="9">
        <v>22.333333333333336</v>
      </c>
      <c r="P15" s="7">
        <v>136.44589255256614</v>
      </c>
      <c r="Q15" s="70">
        <f t="shared" si="6"/>
        <v>6109.5175769805728</v>
      </c>
      <c r="R15" s="7">
        <f t="shared" si="7"/>
        <v>31.933288726984365</v>
      </c>
      <c r="S15" s="7">
        <f t="shared" si="8"/>
        <v>175.31088972185032</v>
      </c>
      <c r="T15" s="7">
        <f t="shared" si="9"/>
        <v>5489.9102695209895</v>
      </c>
      <c r="U15" s="9">
        <f t="shared" si="10"/>
        <v>18</v>
      </c>
      <c r="V15" s="7">
        <f t="shared" si="11"/>
        <v>63.763280138887509</v>
      </c>
      <c r="W15" s="70">
        <f t="shared" si="12"/>
        <v>3542.4044521604169</v>
      </c>
      <c r="X15" s="9">
        <f t="shared" si="13"/>
        <v>30</v>
      </c>
      <c r="Y15" s="7">
        <f t="shared" si="14"/>
        <v>176.46790039531155</v>
      </c>
      <c r="Z15" s="70">
        <f t="shared" si="15"/>
        <v>5882.2633465103845</v>
      </c>
      <c r="AA15" s="9">
        <f t="shared" si="16"/>
        <v>48</v>
      </c>
      <c r="AB15" s="7">
        <f t="shared" si="17"/>
        <v>240.23118053419904</v>
      </c>
      <c r="AC15" s="70">
        <f t="shared" si="18"/>
        <v>5004.8162611291464</v>
      </c>
      <c r="AE15" s="686">
        <v>2021</v>
      </c>
      <c r="AF15" s="9">
        <f t="shared" si="19"/>
        <v>8.4000446063489704</v>
      </c>
      <c r="AG15" s="70">
        <f t="shared" si="20"/>
        <v>9.5999553936510296</v>
      </c>
      <c r="AH15" s="9">
        <f t="shared" si="21"/>
        <v>7.6666666666666661</v>
      </c>
      <c r="AI15" s="70">
        <f t="shared" si="22"/>
        <v>22.333333333333336</v>
      </c>
      <c r="AJ15" s="9">
        <f t="shared" si="23"/>
        <v>64.920290812348753</v>
      </c>
      <c r="AK15" s="70">
        <f t="shared" si="24"/>
        <v>175.31088972185032</v>
      </c>
    </row>
    <row r="16" spans="1:37">
      <c r="B16" s="713">
        <v>2022</v>
      </c>
      <c r="C16" s="9">
        <v>12.133397764726292</v>
      </c>
      <c r="D16" s="7">
        <v>30.482238613883009</v>
      </c>
      <c r="E16" s="70">
        <f t="shared" si="0"/>
        <v>2512.2590724339148</v>
      </c>
      <c r="F16" s="9">
        <v>9.1388888888888875</v>
      </c>
      <c r="G16" s="7">
        <v>47.180783121801916</v>
      </c>
      <c r="H16" s="70">
        <f t="shared" si="1"/>
        <v>5162.6388826287821</v>
      </c>
      <c r="I16" s="7">
        <f t="shared" si="2"/>
        <v>21.272286653615179</v>
      </c>
      <c r="J16" s="7">
        <f t="shared" si="3"/>
        <v>77.663021735684922</v>
      </c>
      <c r="K16" s="7">
        <f t="shared" si="4"/>
        <v>3650.9014287134128</v>
      </c>
      <c r="L16" s="9">
        <v>13.866602235273708</v>
      </c>
      <c r="M16" s="7">
        <v>53.847177399293329</v>
      </c>
      <c r="N16" s="70">
        <f t="shared" si="5"/>
        <v>3883.227952000922</v>
      </c>
      <c r="O16" s="9">
        <v>25.861111111111114</v>
      </c>
      <c r="P16" s="7">
        <v>142.73311062012456</v>
      </c>
      <c r="Q16" s="70">
        <f t="shared" si="6"/>
        <v>5519.2180261272651</v>
      </c>
      <c r="R16" s="7">
        <f t="shared" si="7"/>
        <v>39.727713346384824</v>
      </c>
      <c r="S16" s="7">
        <f t="shared" si="8"/>
        <v>196.58028801941788</v>
      </c>
      <c r="T16" s="7">
        <f t="shared" si="9"/>
        <v>4948.1903553179573</v>
      </c>
      <c r="U16" s="9">
        <f t="shared" si="10"/>
        <v>26</v>
      </c>
      <c r="V16" s="7">
        <f t="shared" si="11"/>
        <v>84.329416013176342</v>
      </c>
      <c r="W16" s="70">
        <f t="shared" si="12"/>
        <v>3243.4390774298595</v>
      </c>
      <c r="X16" s="9">
        <f t="shared" si="13"/>
        <v>35</v>
      </c>
      <c r="Y16" s="7">
        <f t="shared" si="14"/>
        <v>189.91389374192647</v>
      </c>
      <c r="Z16" s="70">
        <f t="shared" si="15"/>
        <v>5426.1112497693275</v>
      </c>
      <c r="AA16" s="9">
        <f t="shared" si="16"/>
        <v>61</v>
      </c>
      <c r="AB16" s="7">
        <f t="shared" si="17"/>
        <v>274.24330975510281</v>
      </c>
      <c r="AC16" s="70">
        <f t="shared" si="18"/>
        <v>4495.7919631984068</v>
      </c>
      <c r="AE16" s="686">
        <v>2022</v>
      </c>
      <c r="AF16" s="9">
        <f t="shared" si="19"/>
        <v>12.133397764726292</v>
      </c>
      <c r="AG16" s="70">
        <f t="shared" si="20"/>
        <v>13.866602235273708</v>
      </c>
      <c r="AH16" s="9">
        <f t="shared" si="21"/>
        <v>9.1388888888888875</v>
      </c>
      <c r="AI16" s="70">
        <f t="shared" si="22"/>
        <v>25.861111111111114</v>
      </c>
      <c r="AJ16" s="9">
        <f t="shared" si="23"/>
        <v>77.663021735684922</v>
      </c>
      <c r="AK16" s="70">
        <f t="shared" si="24"/>
        <v>196.58028801941788</v>
      </c>
    </row>
    <row r="17" spans="2:37">
      <c r="B17" s="713">
        <v>2023</v>
      </c>
      <c r="C17" s="9">
        <v>15.866750923103611</v>
      </c>
      <c r="D17" s="7">
        <v>33.708720872056603</v>
      </c>
      <c r="E17" s="70">
        <f t="shared" si="0"/>
        <v>2124.4879330004014</v>
      </c>
      <c r="F17" s="9">
        <v>10.666666666666664</v>
      </c>
      <c r="G17" s="7">
        <v>58.511271647349524</v>
      </c>
      <c r="H17" s="70">
        <f t="shared" si="1"/>
        <v>5485.4317169390197</v>
      </c>
      <c r="I17" s="7">
        <f t="shared" si="2"/>
        <v>26.533417589770274</v>
      </c>
      <c r="J17" s="7">
        <f t="shared" si="3"/>
        <v>92.219992519406134</v>
      </c>
      <c r="K17" s="7">
        <f t="shared" si="4"/>
        <v>3475.6168219717288</v>
      </c>
      <c r="L17" s="9">
        <v>18.133249076896387</v>
      </c>
      <c r="M17" s="7">
        <v>75.724977039193249</v>
      </c>
      <c r="N17" s="70">
        <f t="shared" si="5"/>
        <v>4176.0291670881315</v>
      </c>
      <c r="O17" s="9">
        <v>29.333333333333336</v>
      </c>
      <c r="P17" s="7">
        <v>153.95609685289662</v>
      </c>
      <c r="Q17" s="70">
        <f t="shared" si="6"/>
        <v>5248.5033018032937</v>
      </c>
      <c r="R17" s="7">
        <f t="shared" si="7"/>
        <v>47.466582410229719</v>
      </c>
      <c r="S17" s="7">
        <f t="shared" si="8"/>
        <v>229.68107389208987</v>
      </c>
      <c r="T17" s="7">
        <f t="shared" si="9"/>
        <v>4838.795258252896</v>
      </c>
      <c r="U17" s="9">
        <f t="shared" si="10"/>
        <v>34</v>
      </c>
      <c r="V17" s="7">
        <f t="shared" si="11"/>
        <v>109.43369791124985</v>
      </c>
      <c r="W17" s="70">
        <f t="shared" si="12"/>
        <v>3218.6381738602895</v>
      </c>
      <c r="X17" s="9">
        <f t="shared" si="13"/>
        <v>40</v>
      </c>
      <c r="Y17" s="7">
        <f t="shared" si="14"/>
        <v>212.46736850024615</v>
      </c>
      <c r="Z17" s="70">
        <f t="shared" si="15"/>
        <v>5311.6842125061539</v>
      </c>
      <c r="AA17" s="9">
        <f t="shared" si="16"/>
        <v>74</v>
      </c>
      <c r="AB17" s="7">
        <f t="shared" si="17"/>
        <v>321.901066411496</v>
      </c>
      <c r="AC17" s="70">
        <f t="shared" si="18"/>
        <v>4350.0144109661624</v>
      </c>
      <c r="AE17" s="686">
        <v>2023</v>
      </c>
      <c r="AF17" s="9">
        <f t="shared" si="19"/>
        <v>15.866750923103611</v>
      </c>
      <c r="AG17" s="70">
        <f t="shared" si="20"/>
        <v>18.133249076896387</v>
      </c>
      <c r="AH17" s="9">
        <f t="shared" si="21"/>
        <v>10.666666666666664</v>
      </c>
      <c r="AI17" s="70">
        <f t="shared" si="22"/>
        <v>29.333333333333336</v>
      </c>
      <c r="AJ17" s="9">
        <f t="shared" si="23"/>
        <v>92.219992519406134</v>
      </c>
      <c r="AK17" s="70">
        <f t="shared" si="24"/>
        <v>229.68107389208987</v>
      </c>
    </row>
    <row r="18" spans="2:37">
      <c r="B18" s="713">
        <v>2024</v>
      </c>
      <c r="C18" s="9">
        <v>19.600104081480932</v>
      </c>
      <c r="D18" s="7">
        <v>39.619027089308759</v>
      </c>
      <c r="E18" s="70">
        <f t="shared" si="0"/>
        <v>2021.3681990976067</v>
      </c>
      <c r="F18" s="9">
        <v>12.249999999999996</v>
      </c>
      <c r="G18" s="7">
        <v>69.068845767510794</v>
      </c>
      <c r="H18" s="70">
        <f t="shared" si="1"/>
        <v>5638.2731238784336</v>
      </c>
      <c r="I18" s="7">
        <f t="shared" si="2"/>
        <v>31.850104081480929</v>
      </c>
      <c r="J18" s="7">
        <f t="shared" si="3"/>
        <v>108.68787285681955</v>
      </c>
      <c r="K18" s="7">
        <f t="shared" si="4"/>
        <v>3412.4809318916964</v>
      </c>
      <c r="L18" s="9">
        <v>22.399895918519068</v>
      </c>
      <c r="M18" s="7">
        <v>92.673978906573609</v>
      </c>
      <c r="N18" s="70">
        <f t="shared" si="5"/>
        <v>4137.2504248984296</v>
      </c>
      <c r="O18" s="9">
        <v>32.75</v>
      </c>
      <c r="P18" s="7">
        <v>175.04656268788406</v>
      </c>
      <c r="Q18" s="70">
        <f t="shared" si="6"/>
        <v>5344.9332118437878</v>
      </c>
      <c r="R18" s="7">
        <f t="shared" si="7"/>
        <v>55.149895918519064</v>
      </c>
      <c r="S18" s="7">
        <f t="shared" si="8"/>
        <v>267.7205415944577</v>
      </c>
      <c r="T18" s="7">
        <f t="shared" si="9"/>
        <v>4854.4160806758382</v>
      </c>
      <c r="U18" s="9">
        <f t="shared" si="10"/>
        <v>42</v>
      </c>
      <c r="V18" s="7">
        <f t="shared" si="11"/>
        <v>132.29300599588237</v>
      </c>
      <c r="W18" s="70">
        <f t="shared" si="12"/>
        <v>3149.8334760924372</v>
      </c>
      <c r="X18" s="9">
        <f t="shared" si="13"/>
        <v>45</v>
      </c>
      <c r="Y18" s="7">
        <f t="shared" si="14"/>
        <v>244.11540845539486</v>
      </c>
      <c r="Z18" s="70">
        <f t="shared" si="15"/>
        <v>5424.7868545643305</v>
      </c>
      <c r="AA18" s="9">
        <f t="shared" si="16"/>
        <v>87</v>
      </c>
      <c r="AB18" s="7">
        <f t="shared" si="17"/>
        <v>376.40841445127722</v>
      </c>
      <c r="AC18" s="70">
        <f t="shared" si="18"/>
        <v>4326.5334994399682</v>
      </c>
      <c r="AE18" s="686">
        <v>2024</v>
      </c>
      <c r="AF18" s="9">
        <f t="shared" si="19"/>
        <v>19.600104081480932</v>
      </c>
      <c r="AG18" s="70">
        <f t="shared" si="20"/>
        <v>22.399895918519068</v>
      </c>
      <c r="AH18" s="9">
        <f t="shared" si="21"/>
        <v>12.249999999999996</v>
      </c>
      <c r="AI18" s="70">
        <f t="shared" si="22"/>
        <v>32.75</v>
      </c>
      <c r="AJ18" s="9">
        <f t="shared" si="23"/>
        <v>108.68787285681955</v>
      </c>
      <c r="AK18" s="70">
        <f t="shared" si="24"/>
        <v>267.7205415944577</v>
      </c>
    </row>
    <row r="19" spans="2:37">
      <c r="B19" s="713">
        <v>2025</v>
      </c>
      <c r="C19" s="9">
        <v>23.333457239858252</v>
      </c>
      <c r="D19" s="7">
        <v>46.753217758928585</v>
      </c>
      <c r="E19" s="70">
        <f t="shared" si="0"/>
        <v>2003.6986923251416</v>
      </c>
      <c r="F19" s="9">
        <v>13.888888888888884</v>
      </c>
      <c r="G19" s="7">
        <v>78.091833561738639</v>
      </c>
      <c r="H19" s="70">
        <f t="shared" si="1"/>
        <v>5622.6120164451841</v>
      </c>
      <c r="I19" s="7">
        <f t="shared" si="2"/>
        <v>37.222346128747134</v>
      </c>
      <c r="J19" s="7">
        <f t="shared" si="3"/>
        <v>124.84505132066722</v>
      </c>
      <c r="K19" s="7">
        <f t="shared" si="4"/>
        <v>3354.0349898645518</v>
      </c>
      <c r="L19" s="9">
        <v>26.666542760141748</v>
      </c>
      <c r="M19" s="7">
        <v>118.64738945316606</v>
      </c>
      <c r="N19" s="70">
        <f t="shared" si="5"/>
        <v>4449.2977781322024</v>
      </c>
      <c r="O19" s="9">
        <v>36.111111111111114</v>
      </c>
      <c r="P19" s="7">
        <v>212.4061623296522</v>
      </c>
      <c r="Q19" s="70">
        <f t="shared" si="6"/>
        <v>5882.0168029749839</v>
      </c>
      <c r="R19" s="7">
        <f t="shared" si="7"/>
        <v>62.777653871252866</v>
      </c>
      <c r="S19" s="7">
        <f t="shared" si="8"/>
        <v>331.05355178281826</v>
      </c>
      <c r="T19" s="7">
        <f t="shared" si="9"/>
        <v>5273.4298172683739</v>
      </c>
      <c r="U19" s="9">
        <f t="shared" si="10"/>
        <v>50</v>
      </c>
      <c r="V19" s="7">
        <f t="shared" si="11"/>
        <v>165.40060721209466</v>
      </c>
      <c r="W19" s="70">
        <f t="shared" si="12"/>
        <v>3308.0121442418931</v>
      </c>
      <c r="X19" s="9">
        <f t="shared" si="13"/>
        <v>50</v>
      </c>
      <c r="Y19" s="7">
        <f t="shared" si="14"/>
        <v>290.49799589139081</v>
      </c>
      <c r="Z19" s="70">
        <f t="shared" si="15"/>
        <v>5809.9599178278168</v>
      </c>
      <c r="AA19" s="9">
        <f t="shared" si="16"/>
        <v>100</v>
      </c>
      <c r="AB19" s="7">
        <f t="shared" si="17"/>
        <v>455.89860310348547</v>
      </c>
      <c r="AC19" s="70">
        <f t="shared" si="18"/>
        <v>4558.9860310348549</v>
      </c>
      <c r="AE19" s="686">
        <v>2025</v>
      </c>
      <c r="AF19" s="9">
        <f t="shared" si="19"/>
        <v>23.333457239858252</v>
      </c>
      <c r="AG19" s="70">
        <f t="shared" si="20"/>
        <v>26.666542760141748</v>
      </c>
      <c r="AH19" s="9">
        <f t="shared" si="21"/>
        <v>13.888888888888884</v>
      </c>
      <c r="AI19" s="70">
        <f t="shared" si="22"/>
        <v>36.111111111111114</v>
      </c>
      <c r="AJ19" s="9">
        <f t="shared" si="23"/>
        <v>124.84505132066722</v>
      </c>
      <c r="AK19" s="70">
        <f t="shared" si="24"/>
        <v>331.05355178281826</v>
      </c>
    </row>
    <row r="20" spans="2:37">
      <c r="B20" s="713">
        <v>2026</v>
      </c>
      <c r="C20" s="9">
        <v>28.000148687829903</v>
      </c>
      <c r="D20" s="7">
        <v>61.386805258689101</v>
      </c>
      <c r="E20" s="70">
        <f t="shared" si="0"/>
        <v>2192.3742599756447</v>
      </c>
      <c r="F20" s="9">
        <v>21.249999999999993</v>
      </c>
      <c r="G20" s="7">
        <v>110.16681929835781</v>
      </c>
      <c r="H20" s="70">
        <f t="shared" si="1"/>
        <v>5184.3209081580162</v>
      </c>
      <c r="I20" s="7">
        <f t="shared" si="2"/>
        <v>49.250148687829892</v>
      </c>
      <c r="J20" s="7">
        <f t="shared" si="3"/>
        <v>171.5536245570469</v>
      </c>
      <c r="K20" s="7">
        <f t="shared" si="4"/>
        <v>3483.3118097659508</v>
      </c>
      <c r="L20" s="9">
        <v>31.999851312170097</v>
      </c>
      <c r="M20" s="7">
        <v>138.86322253726223</v>
      </c>
      <c r="N20" s="70">
        <f t="shared" si="5"/>
        <v>4339.4958677339273</v>
      </c>
      <c r="O20" s="9">
        <v>53.750000000000007</v>
      </c>
      <c r="P20" s="7">
        <v>283.9064872450877</v>
      </c>
      <c r="Q20" s="70">
        <f t="shared" si="6"/>
        <v>5281.9811580481428</v>
      </c>
      <c r="R20" s="7">
        <f t="shared" si="7"/>
        <v>85.749851312170108</v>
      </c>
      <c r="S20" s="7">
        <f t="shared" si="8"/>
        <v>422.76970978234993</v>
      </c>
      <c r="T20" s="7">
        <f t="shared" si="9"/>
        <v>4930.2675551385828</v>
      </c>
      <c r="U20" s="9">
        <f t="shared" si="10"/>
        <v>60</v>
      </c>
      <c r="V20" s="7">
        <f t="shared" si="11"/>
        <v>200.25002779595133</v>
      </c>
      <c r="W20" s="70">
        <f t="shared" si="12"/>
        <v>3337.5004632658552</v>
      </c>
      <c r="X20" s="9">
        <f t="shared" si="13"/>
        <v>75</v>
      </c>
      <c r="Y20" s="7">
        <f t="shared" si="14"/>
        <v>394.07330654344548</v>
      </c>
      <c r="Z20" s="70">
        <f t="shared" si="15"/>
        <v>5254.3107539126067</v>
      </c>
      <c r="AA20" s="9">
        <f t="shared" si="16"/>
        <v>135</v>
      </c>
      <c r="AB20" s="7">
        <f t="shared" si="17"/>
        <v>594.32333433939675</v>
      </c>
      <c r="AC20" s="70">
        <f t="shared" si="18"/>
        <v>4402.3950691807167</v>
      </c>
      <c r="AE20" s="686">
        <v>2026</v>
      </c>
      <c r="AF20" s="9">
        <f t="shared" si="19"/>
        <v>28.000148687829903</v>
      </c>
      <c r="AG20" s="70">
        <f t="shared" si="20"/>
        <v>31.999851312170097</v>
      </c>
      <c r="AH20" s="9">
        <f t="shared" si="21"/>
        <v>21.249999999999993</v>
      </c>
      <c r="AI20" s="70">
        <f t="shared" si="22"/>
        <v>53.750000000000007</v>
      </c>
      <c r="AJ20" s="9">
        <f t="shared" si="23"/>
        <v>171.5536245570469</v>
      </c>
      <c r="AK20" s="70">
        <f t="shared" si="24"/>
        <v>422.76970978234993</v>
      </c>
    </row>
    <row r="21" spans="2:37">
      <c r="B21" s="713">
        <v>2027</v>
      </c>
      <c r="C21" s="9">
        <v>32.66684013580155</v>
      </c>
      <c r="D21" s="7">
        <v>61.355876494632902</v>
      </c>
      <c r="E21" s="70">
        <f t="shared" si="0"/>
        <v>1878.2311432500421</v>
      </c>
      <c r="F21" s="9">
        <v>28.888888888888875</v>
      </c>
      <c r="G21" s="7">
        <v>144.46541618673098</v>
      </c>
      <c r="H21" s="70">
        <f t="shared" si="1"/>
        <v>5000.7259449253052</v>
      </c>
      <c r="I21" s="7">
        <f t="shared" si="2"/>
        <v>61.555729024690422</v>
      </c>
      <c r="J21" s="7">
        <f t="shared" si="3"/>
        <v>205.82129268136387</v>
      </c>
      <c r="K21" s="7">
        <f t="shared" si="4"/>
        <v>3343.6577868943368</v>
      </c>
      <c r="L21" s="9">
        <v>37.33315986419845</v>
      </c>
      <c r="M21" s="7">
        <v>162.04883239869659</v>
      </c>
      <c r="N21" s="70">
        <f t="shared" si="5"/>
        <v>4340.6138936044708</v>
      </c>
      <c r="O21" s="9">
        <v>71.111111111111128</v>
      </c>
      <c r="P21" s="7">
        <v>366.44731479191438</v>
      </c>
      <c r="Q21" s="70">
        <f t="shared" si="6"/>
        <v>5153.1653642612946</v>
      </c>
      <c r="R21" s="7">
        <f t="shared" si="7"/>
        <v>108.44427097530958</v>
      </c>
      <c r="S21" s="7">
        <f t="shared" si="8"/>
        <v>528.49614719061094</v>
      </c>
      <c r="T21" s="7">
        <f t="shared" si="9"/>
        <v>4873.4353824088885</v>
      </c>
      <c r="U21" s="9">
        <f t="shared" si="10"/>
        <v>70</v>
      </c>
      <c r="V21" s="7">
        <f t="shared" si="11"/>
        <v>223.40470889332948</v>
      </c>
      <c r="W21" s="70">
        <f t="shared" si="12"/>
        <v>3191.4958413332783</v>
      </c>
      <c r="X21" s="9">
        <f t="shared" si="13"/>
        <v>100</v>
      </c>
      <c r="Y21" s="7">
        <f t="shared" si="14"/>
        <v>510.91273097864536</v>
      </c>
      <c r="Z21" s="70">
        <f t="shared" si="15"/>
        <v>5109.1273097864532</v>
      </c>
      <c r="AA21" s="9">
        <f t="shared" si="16"/>
        <v>170</v>
      </c>
      <c r="AB21" s="7">
        <f t="shared" si="17"/>
        <v>734.31743987197478</v>
      </c>
      <c r="AC21" s="70">
        <f t="shared" si="18"/>
        <v>4319.5143521880864</v>
      </c>
      <c r="AE21" s="686">
        <v>2027</v>
      </c>
      <c r="AF21" s="9">
        <f t="shared" si="19"/>
        <v>32.66684013580155</v>
      </c>
      <c r="AG21" s="70">
        <f t="shared" si="20"/>
        <v>37.33315986419845</v>
      </c>
      <c r="AH21" s="9">
        <f t="shared" si="21"/>
        <v>28.888888888888875</v>
      </c>
      <c r="AI21" s="70">
        <f t="shared" si="22"/>
        <v>71.111111111111128</v>
      </c>
      <c r="AJ21" s="9">
        <f t="shared" si="23"/>
        <v>205.82129268136387</v>
      </c>
      <c r="AK21" s="70">
        <f t="shared" si="24"/>
        <v>528.49614719061094</v>
      </c>
    </row>
    <row r="22" spans="2:37">
      <c r="B22" s="713">
        <v>2028</v>
      </c>
      <c r="C22" s="9">
        <v>37.333531583773201</v>
      </c>
      <c r="D22" s="7">
        <v>69.630723089679606</v>
      </c>
      <c r="E22" s="70">
        <f t="shared" si="0"/>
        <v>1865.0987499919293</v>
      </c>
      <c r="F22" s="9">
        <v>36.805555555555536</v>
      </c>
      <c r="G22" s="7">
        <v>173.81927268848611</v>
      </c>
      <c r="H22" s="70">
        <f t="shared" si="1"/>
        <v>4722.636842856984</v>
      </c>
      <c r="I22" s="7">
        <f t="shared" si="2"/>
        <v>74.139087139328737</v>
      </c>
      <c r="J22" s="7">
        <f t="shared" si="3"/>
        <v>243.44999577816571</v>
      </c>
      <c r="K22" s="7">
        <f t="shared" si="4"/>
        <v>3283.6929232842172</v>
      </c>
      <c r="L22" s="9">
        <v>42.666468416226799</v>
      </c>
      <c r="M22" s="7">
        <v>180.23250637893074</v>
      </c>
      <c r="N22" s="70">
        <f t="shared" si="5"/>
        <v>4224.2189960673004</v>
      </c>
      <c r="O22" s="9">
        <v>88.194444444444457</v>
      </c>
      <c r="P22" s="7">
        <v>445.79740134867069</v>
      </c>
      <c r="Q22" s="70">
        <f t="shared" si="6"/>
        <v>5054.7106924573682</v>
      </c>
      <c r="R22" s="7">
        <f t="shared" si="7"/>
        <v>130.86091286067125</v>
      </c>
      <c r="S22" s="7">
        <f t="shared" si="8"/>
        <v>626.02990772760143</v>
      </c>
      <c r="T22" s="7">
        <f t="shared" si="9"/>
        <v>4783.933521800669</v>
      </c>
      <c r="U22" s="9">
        <f t="shared" si="10"/>
        <v>80</v>
      </c>
      <c r="V22" s="7">
        <f t="shared" si="11"/>
        <v>249.86322946861034</v>
      </c>
      <c r="W22" s="70">
        <f t="shared" si="12"/>
        <v>3123.2903683576292</v>
      </c>
      <c r="X22" s="9">
        <f t="shared" si="13"/>
        <v>125</v>
      </c>
      <c r="Y22" s="7">
        <f t="shared" si="14"/>
        <v>619.61667403715683</v>
      </c>
      <c r="Z22" s="70">
        <f t="shared" si="15"/>
        <v>4956.9333922972546</v>
      </c>
      <c r="AA22" s="9">
        <f t="shared" si="16"/>
        <v>205</v>
      </c>
      <c r="AB22" s="7">
        <f t="shared" si="17"/>
        <v>869.4799035057672</v>
      </c>
      <c r="AC22" s="70">
        <f t="shared" si="18"/>
        <v>4241.3653829549621</v>
      </c>
      <c r="AE22" s="686">
        <v>2028</v>
      </c>
      <c r="AF22" s="9">
        <f t="shared" si="19"/>
        <v>37.333531583773201</v>
      </c>
      <c r="AG22" s="70">
        <f t="shared" si="20"/>
        <v>42.666468416226799</v>
      </c>
      <c r="AH22" s="9">
        <f t="shared" si="21"/>
        <v>36.805555555555536</v>
      </c>
      <c r="AI22" s="70">
        <f t="shared" si="22"/>
        <v>88.194444444444457</v>
      </c>
      <c r="AJ22" s="9">
        <f t="shared" si="23"/>
        <v>243.44999577816571</v>
      </c>
      <c r="AK22" s="70">
        <f t="shared" si="24"/>
        <v>626.02990772760143</v>
      </c>
    </row>
    <row r="23" spans="2:37">
      <c r="B23" s="713">
        <v>2029</v>
      </c>
      <c r="C23" s="9">
        <v>42.000223031744852</v>
      </c>
      <c r="D23" s="7">
        <v>75.945760380579401</v>
      </c>
      <c r="E23" s="70">
        <f t="shared" si="0"/>
        <v>1808.2227878451415</v>
      </c>
      <c r="F23" s="9">
        <v>44.999999999999972</v>
      </c>
      <c r="G23" s="7">
        <v>205.55788918327076</v>
      </c>
      <c r="H23" s="70">
        <f t="shared" si="1"/>
        <v>4567.9530929615757</v>
      </c>
      <c r="I23" s="7">
        <f t="shared" si="2"/>
        <v>87.000223031744824</v>
      </c>
      <c r="J23" s="7">
        <f t="shared" si="3"/>
        <v>281.50364956385016</v>
      </c>
      <c r="K23" s="7">
        <f t="shared" si="4"/>
        <v>3235.6658380189961</v>
      </c>
      <c r="L23" s="9">
        <v>47.999776968255148</v>
      </c>
      <c r="M23" s="7">
        <v>194.13874551694684</v>
      </c>
      <c r="N23" s="70">
        <f t="shared" si="5"/>
        <v>4044.5759913705706</v>
      </c>
      <c r="O23" s="9">
        <v>105.00000000000003</v>
      </c>
      <c r="P23" s="7">
        <v>536.38405906289586</v>
      </c>
      <c r="Q23" s="70">
        <f t="shared" si="6"/>
        <v>5108.4196101228172</v>
      </c>
      <c r="R23" s="7">
        <f t="shared" si="7"/>
        <v>152.99977696825516</v>
      </c>
      <c r="S23" s="7">
        <f t="shared" si="8"/>
        <v>730.52280457984273</v>
      </c>
      <c r="T23" s="7">
        <f t="shared" si="9"/>
        <v>4774.6658136071255</v>
      </c>
      <c r="U23" s="9">
        <f t="shared" si="10"/>
        <v>90</v>
      </c>
      <c r="V23" s="7">
        <f t="shared" si="11"/>
        <v>270.08450589752624</v>
      </c>
      <c r="W23" s="70">
        <f t="shared" si="12"/>
        <v>3000.9389544169585</v>
      </c>
      <c r="X23" s="9">
        <f t="shared" si="13"/>
        <v>150</v>
      </c>
      <c r="Y23" s="7">
        <f t="shared" si="14"/>
        <v>741.94194824616659</v>
      </c>
      <c r="Z23" s="70">
        <f t="shared" si="15"/>
        <v>4946.2796549744444</v>
      </c>
      <c r="AA23" s="9">
        <f t="shared" si="16"/>
        <v>240</v>
      </c>
      <c r="AB23" s="7">
        <f t="shared" si="17"/>
        <v>1012.0264541436928</v>
      </c>
      <c r="AC23" s="70">
        <f t="shared" si="18"/>
        <v>4216.7768922653868</v>
      </c>
      <c r="AE23" s="686">
        <v>2029</v>
      </c>
      <c r="AF23" s="9">
        <f t="shared" si="19"/>
        <v>42.000223031744852</v>
      </c>
      <c r="AG23" s="70">
        <f t="shared" si="20"/>
        <v>47.999776968255148</v>
      </c>
      <c r="AH23" s="9">
        <f t="shared" si="21"/>
        <v>44.999999999999972</v>
      </c>
      <c r="AI23" s="70">
        <f t="shared" si="22"/>
        <v>105.00000000000003</v>
      </c>
      <c r="AJ23" s="9">
        <f t="shared" si="23"/>
        <v>281.50364956385016</v>
      </c>
      <c r="AK23" s="70">
        <f t="shared" si="24"/>
        <v>730.52280457984273</v>
      </c>
    </row>
    <row r="24" spans="2:37">
      <c r="B24" s="713">
        <v>2030</v>
      </c>
      <c r="C24" s="9">
        <v>46.666914479716503</v>
      </c>
      <c r="D24" s="7">
        <v>85.800821941156102</v>
      </c>
      <c r="E24" s="70">
        <f t="shared" si="0"/>
        <v>1838.5792782260958</v>
      </c>
      <c r="F24" s="9">
        <v>53.472222222222186</v>
      </c>
      <c r="G24" s="7">
        <v>235.62046608821956</v>
      </c>
      <c r="H24" s="70">
        <f t="shared" si="1"/>
        <v>4406.4087164550183</v>
      </c>
      <c r="I24" s="7">
        <f t="shared" si="2"/>
        <v>100.1391367019387</v>
      </c>
      <c r="J24" s="7">
        <f t="shared" si="3"/>
        <v>321.42128802937566</v>
      </c>
      <c r="K24" s="7">
        <f t="shared" si="4"/>
        <v>3209.7469442549423</v>
      </c>
      <c r="L24" s="9">
        <v>53.333085520283497</v>
      </c>
      <c r="M24" s="7">
        <v>190.54571357048448</v>
      </c>
      <c r="N24" s="70">
        <f t="shared" si="5"/>
        <v>3572.7487302045679</v>
      </c>
      <c r="O24" s="9">
        <v>121.52777777777781</v>
      </c>
      <c r="P24" s="7">
        <v>627.4867685320952</v>
      </c>
      <c r="Q24" s="70">
        <f t="shared" si="6"/>
        <v>5163.31969534981</v>
      </c>
      <c r="R24" s="7">
        <f t="shared" si="7"/>
        <v>174.8608632980613</v>
      </c>
      <c r="S24" s="7">
        <f t="shared" si="8"/>
        <v>818.03248210257971</v>
      </c>
      <c r="T24" s="7">
        <f t="shared" si="9"/>
        <v>4678.1908008093951</v>
      </c>
      <c r="U24" s="9">
        <f t="shared" si="10"/>
        <v>100</v>
      </c>
      <c r="V24" s="7">
        <f t="shared" si="11"/>
        <v>276.34653551164058</v>
      </c>
      <c r="W24" s="70">
        <f t="shared" si="12"/>
        <v>2763.4653551164056</v>
      </c>
      <c r="X24" s="9">
        <f t="shared" si="13"/>
        <v>175</v>
      </c>
      <c r="Y24" s="7">
        <f t="shared" si="14"/>
        <v>863.10723462031478</v>
      </c>
      <c r="Z24" s="70">
        <f t="shared" si="15"/>
        <v>4932.0413406875132</v>
      </c>
      <c r="AA24" s="9">
        <f t="shared" si="16"/>
        <v>275</v>
      </c>
      <c r="AB24" s="7">
        <f t="shared" si="17"/>
        <v>1139.4537701319555</v>
      </c>
      <c r="AC24" s="70">
        <f t="shared" si="18"/>
        <v>4143.4682550252928</v>
      </c>
      <c r="AE24" s="686">
        <v>2030</v>
      </c>
      <c r="AF24" s="9">
        <f t="shared" si="19"/>
        <v>46.666914479716503</v>
      </c>
      <c r="AG24" s="70">
        <f t="shared" si="20"/>
        <v>53.333085520283497</v>
      </c>
      <c r="AH24" s="9">
        <f t="shared" si="21"/>
        <v>53.472222222222186</v>
      </c>
      <c r="AI24" s="70">
        <f t="shared" si="22"/>
        <v>121.52777777777781</v>
      </c>
      <c r="AJ24" s="9">
        <f t="shared" si="23"/>
        <v>321.42128802937566</v>
      </c>
      <c r="AK24" s="70">
        <f t="shared" si="24"/>
        <v>818.03248210257971</v>
      </c>
    </row>
    <row r="25" spans="2:37">
      <c r="B25" s="713">
        <v>2031</v>
      </c>
      <c r="C25" s="9">
        <v>51.333605927688154</v>
      </c>
      <c r="D25" s="7">
        <v>85.421046764947604</v>
      </c>
      <c r="E25" s="70">
        <f t="shared" si="0"/>
        <v>1664.0375290463176</v>
      </c>
      <c r="F25" s="9">
        <v>62.222222222222179</v>
      </c>
      <c r="G25" s="7">
        <v>256.70656518029887</v>
      </c>
      <c r="H25" s="70">
        <f t="shared" si="1"/>
        <v>4125.6412261119485</v>
      </c>
      <c r="I25" s="7">
        <f t="shared" si="2"/>
        <v>113.55582814991033</v>
      </c>
      <c r="J25" s="7">
        <f t="shared" si="3"/>
        <v>342.12761194524649</v>
      </c>
      <c r="K25" s="7">
        <f t="shared" si="4"/>
        <v>3012.858234749413</v>
      </c>
      <c r="L25" s="9">
        <v>58.666394072311846</v>
      </c>
      <c r="M25" s="7">
        <v>212.52030231937874</v>
      </c>
      <c r="N25" s="70">
        <f t="shared" si="5"/>
        <v>3622.521985200377</v>
      </c>
      <c r="O25" s="9">
        <v>137.77777777777783</v>
      </c>
      <c r="P25" s="7">
        <v>681.5584806001699</v>
      </c>
      <c r="Q25" s="70">
        <f t="shared" si="6"/>
        <v>4946.7954237109088</v>
      </c>
      <c r="R25" s="7">
        <f t="shared" si="7"/>
        <v>196.44417185008967</v>
      </c>
      <c r="S25" s="7">
        <f t="shared" si="8"/>
        <v>894.07878291954864</v>
      </c>
      <c r="T25" s="7">
        <f t="shared" si="9"/>
        <v>4551.3123372366445</v>
      </c>
      <c r="U25" s="9">
        <f t="shared" si="10"/>
        <v>110</v>
      </c>
      <c r="V25" s="7">
        <f t="shared" si="11"/>
        <v>297.94134908432636</v>
      </c>
      <c r="W25" s="70">
        <f t="shared" si="12"/>
        <v>2708.5577189484216</v>
      </c>
      <c r="X25" s="9">
        <f t="shared" si="13"/>
        <v>200</v>
      </c>
      <c r="Y25" s="7">
        <f t="shared" si="14"/>
        <v>938.26504578046877</v>
      </c>
      <c r="Z25" s="70">
        <f t="shared" si="15"/>
        <v>4691.325228902344</v>
      </c>
      <c r="AA25" s="9">
        <f t="shared" si="16"/>
        <v>310</v>
      </c>
      <c r="AB25" s="7">
        <f t="shared" si="17"/>
        <v>1236.2063948647951</v>
      </c>
      <c r="AC25" s="70">
        <f t="shared" si="18"/>
        <v>3987.7625640799843</v>
      </c>
      <c r="AE25" s="686">
        <v>2031</v>
      </c>
      <c r="AF25" s="9">
        <f t="shared" si="19"/>
        <v>51.333605927688154</v>
      </c>
      <c r="AG25" s="70">
        <f t="shared" si="20"/>
        <v>58.666394072311846</v>
      </c>
      <c r="AH25" s="9">
        <f t="shared" si="21"/>
        <v>62.222222222222179</v>
      </c>
      <c r="AI25" s="70">
        <f t="shared" si="22"/>
        <v>137.77777777777783</v>
      </c>
      <c r="AJ25" s="9">
        <f t="shared" si="23"/>
        <v>342.12761194524649</v>
      </c>
      <c r="AK25" s="70">
        <f t="shared" si="24"/>
        <v>894.07878291954864</v>
      </c>
    </row>
    <row r="26" spans="2:37">
      <c r="B26" s="713">
        <v>2032</v>
      </c>
      <c r="C26" s="9">
        <v>56.000297375659805</v>
      </c>
      <c r="D26" s="7">
        <v>88.779941488881903</v>
      </c>
      <c r="E26" s="70">
        <f t="shared" si="0"/>
        <v>1585.3476793762452</v>
      </c>
      <c r="F26" s="9">
        <v>71.249999999999943</v>
      </c>
      <c r="G26" s="7">
        <v>278.06511807283516</v>
      </c>
      <c r="H26" s="70">
        <f t="shared" si="1"/>
        <v>3902.6683238292685</v>
      </c>
      <c r="I26" s="7">
        <f t="shared" si="2"/>
        <v>127.25029737565976</v>
      </c>
      <c r="J26" s="7">
        <f t="shared" si="3"/>
        <v>366.84505956171705</v>
      </c>
      <c r="K26" s="7">
        <f t="shared" si="4"/>
        <v>2882.8621003434027</v>
      </c>
      <c r="L26" s="9">
        <v>63.999702624340195</v>
      </c>
      <c r="M26" s="7">
        <v>238.38677273137267</v>
      </c>
      <c r="N26" s="70">
        <f t="shared" si="5"/>
        <v>3724.8106312404966</v>
      </c>
      <c r="O26" s="9">
        <v>153.75000000000006</v>
      </c>
      <c r="P26" s="7">
        <v>738.2211506495712</v>
      </c>
      <c r="Q26" s="70">
        <f t="shared" si="6"/>
        <v>4801.4383782085915</v>
      </c>
      <c r="R26" s="7">
        <f t="shared" si="7"/>
        <v>217.74970262434024</v>
      </c>
      <c r="S26" s="7">
        <f t="shared" si="8"/>
        <v>976.60792338094393</v>
      </c>
      <c r="T26" s="7">
        <f t="shared" si="9"/>
        <v>4485.0023288701286</v>
      </c>
      <c r="U26" s="9">
        <f t="shared" si="10"/>
        <v>120</v>
      </c>
      <c r="V26" s="7">
        <f t="shared" si="11"/>
        <v>327.16671422025456</v>
      </c>
      <c r="W26" s="70">
        <f t="shared" si="12"/>
        <v>2726.3892851687879</v>
      </c>
      <c r="X26" s="9">
        <f t="shared" si="13"/>
        <v>225</v>
      </c>
      <c r="Y26" s="7">
        <f t="shared" si="14"/>
        <v>1016.2862687224064</v>
      </c>
      <c r="Z26" s="70">
        <f t="shared" si="15"/>
        <v>4516.8278609884728</v>
      </c>
      <c r="AA26" s="9">
        <f t="shared" si="16"/>
        <v>345</v>
      </c>
      <c r="AB26" s="7">
        <f t="shared" si="17"/>
        <v>1343.452982942661</v>
      </c>
      <c r="AC26" s="70">
        <f t="shared" si="18"/>
        <v>3894.0666172251044</v>
      </c>
      <c r="AE26" s="686">
        <v>2032</v>
      </c>
      <c r="AF26" s="9">
        <f t="shared" si="19"/>
        <v>56.000297375659805</v>
      </c>
      <c r="AG26" s="70">
        <f t="shared" si="20"/>
        <v>63.999702624340195</v>
      </c>
      <c r="AH26" s="9">
        <f t="shared" si="21"/>
        <v>71.249999999999943</v>
      </c>
      <c r="AI26" s="70">
        <f t="shared" si="22"/>
        <v>153.75000000000006</v>
      </c>
      <c r="AJ26" s="9">
        <f t="shared" si="23"/>
        <v>366.84505956171705</v>
      </c>
      <c r="AK26" s="70">
        <f t="shared" si="24"/>
        <v>976.60792338094393</v>
      </c>
    </row>
    <row r="27" spans="2:37">
      <c r="B27" s="713">
        <v>2033</v>
      </c>
      <c r="C27" s="9">
        <v>60.666988823631456</v>
      </c>
      <c r="D27" s="7">
        <v>90.292156892403909</v>
      </c>
      <c r="E27" s="70">
        <f t="shared" si="0"/>
        <v>1488.3243530496875</v>
      </c>
      <c r="F27" s="9">
        <v>80.555555555555486</v>
      </c>
      <c r="G27" s="7">
        <v>291.18091002628944</v>
      </c>
      <c r="H27" s="70">
        <f t="shared" si="1"/>
        <v>3614.6595727401477</v>
      </c>
      <c r="I27" s="7">
        <f t="shared" si="2"/>
        <v>141.22254437918696</v>
      </c>
      <c r="J27" s="7">
        <f t="shared" si="3"/>
        <v>381.47306691869335</v>
      </c>
      <c r="K27" s="7">
        <f t="shared" si="4"/>
        <v>2701.2193314859574</v>
      </c>
      <c r="L27" s="9">
        <v>69.333011176368544</v>
      </c>
      <c r="M27" s="7">
        <v>246.16841873621152</v>
      </c>
      <c r="N27" s="70">
        <f t="shared" si="5"/>
        <v>3550.5225369486843</v>
      </c>
      <c r="O27" s="9">
        <v>169.44444444444451</v>
      </c>
      <c r="P27" s="7">
        <v>778.48519388687942</v>
      </c>
      <c r="Q27" s="70">
        <f t="shared" si="6"/>
        <v>4594.3388491684664</v>
      </c>
      <c r="R27" s="7">
        <f t="shared" si="7"/>
        <v>238.77745562081304</v>
      </c>
      <c r="S27" s="7">
        <f t="shared" si="8"/>
        <v>1024.653612623091</v>
      </c>
      <c r="T27" s="7">
        <f t="shared" si="9"/>
        <v>4291.2493977248705</v>
      </c>
      <c r="U27" s="9">
        <f t="shared" si="10"/>
        <v>130</v>
      </c>
      <c r="V27" s="7">
        <f t="shared" si="11"/>
        <v>336.4605756286154</v>
      </c>
      <c r="W27" s="70">
        <f t="shared" si="12"/>
        <v>2588.1582740662725</v>
      </c>
      <c r="X27" s="9">
        <f t="shared" si="13"/>
        <v>250</v>
      </c>
      <c r="Y27" s="7">
        <f t="shared" si="14"/>
        <v>1069.6661039131689</v>
      </c>
      <c r="Z27" s="70">
        <f t="shared" si="15"/>
        <v>4278.6644156526754</v>
      </c>
      <c r="AA27" s="9">
        <f t="shared" si="16"/>
        <v>380</v>
      </c>
      <c r="AB27" s="7">
        <f t="shared" si="17"/>
        <v>1406.1266795417841</v>
      </c>
      <c r="AC27" s="70">
        <f t="shared" si="18"/>
        <v>3700.3333672152216</v>
      </c>
      <c r="AE27" s="686">
        <v>2033</v>
      </c>
      <c r="AF27" s="9">
        <f t="shared" si="19"/>
        <v>60.666988823631456</v>
      </c>
      <c r="AG27" s="70">
        <f t="shared" si="20"/>
        <v>69.333011176368544</v>
      </c>
      <c r="AH27" s="9">
        <f t="shared" si="21"/>
        <v>80.555555555555486</v>
      </c>
      <c r="AI27" s="70">
        <f t="shared" si="22"/>
        <v>169.44444444444451</v>
      </c>
      <c r="AJ27" s="9">
        <f t="shared" si="23"/>
        <v>381.47306691869335</v>
      </c>
      <c r="AK27" s="70">
        <f t="shared" si="24"/>
        <v>1024.653612623091</v>
      </c>
    </row>
    <row r="28" spans="2:37">
      <c r="B28" s="713">
        <v>2034</v>
      </c>
      <c r="C28" s="9">
        <v>65.3336802716031</v>
      </c>
      <c r="D28" s="7">
        <v>96.093913272146011</v>
      </c>
      <c r="E28" s="70">
        <f t="shared" si="0"/>
        <v>1470.8173926934385</v>
      </c>
      <c r="F28" s="9">
        <v>90.138888888888815</v>
      </c>
      <c r="G28" s="7">
        <v>305.05536784928455</v>
      </c>
      <c r="H28" s="70">
        <f t="shared" si="1"/>
        <v>3384.2814306854398</v>
      </c>
      <c r="I28" s="7">
        <f t="shared" si="2"/>
        <v>155.4725691604919</v>
      </c>
      <c r="J28" s="7">
        <f t="shared" si="3"/>
        <v>401.14928112143059</v>
      </c>
      <c r="K28" s="7">
        <f t="shared" si="4"/>
        <v>2580.193298969225</v>
      </c>
      <c r="L28" s="9">
        <v>74.6663197283969</v>
      </c>
      <c r="M28" s="7">
        <v>263.53990335945673</v>
      </c>
      <c r="N28" s="70">
        <f t="shared" si="5"/>
        <v>3529.5686772576782</v>
      </c>
      <c r="O28" s="9">
        <v>184.8611111111112</v>
      </c>
      <c r="P28" s="7">
        <v>813.74465332959915</v>
      </c>
      <c r="Q28" s="70">
        <f t="shared" si="6"/>
        <v>4401.9244958475665</v>
      </c>
      <c r="R28" s="7">
        <f t="shared" si="7"/>
        <v>259.5274308395081</v>
      </c>
      <c r="S28" s="7">
        <f t="shared" si="8"/>
        <v>1077.284556689056</v>
      </c>
      <c r="T28" s="7">
        <f t="shared" si="9"/>
        <v>4150.9467928083841</v>
      </c>
      <c r="U28" s="9">
        <f t="shared" si="10"/>
        <v>140</v>
      </c>
      <c r="V28" s="7">
        <f t="shared" si="11"/>
        <v>359.63381663160271</v>
      </c>
      <c r="W28" s="70">
        <f t="shared" si="12"/>
        <v>2568.8129759400194</v>
      </c>
      <c r="X28" s="9">
        <f t="shared" si="13"/>
        <v>275</v>
      </c>
      <c r="Y28" s="7">
        <f t="shared" si="14"/>
        <v>1118.8000211788838</v>
      </c>
      <c r="Z28" s="70">
        <f t="shared" si="15"/>
        <v>4068.3637133777593</v>
      </c>
      <c r="AA28" s="9">
        <f t="shared" si="16"/>
        <v>415</v>
      </c>
      <c r="AB28" s="7">
        <f t="shared" si="17"/>
        <v>1478.4338378104865</v>
      </c>
      <c r="AC28" s="70">
        <f t="shared" si="18"/>
        <v>3562.4911754469554</v>
      </c>
      <c r="AE28" s="686">
        <v>2034</v>
      </c>
      <c r="AF28" s="9">
        <f t="shared" si="19"/>
        <v>65.3336802716031</v>
      </c>
      <c r="AG28" s="70">
        <f t="shared" si="20"/>
        <v>74.6663197283969</v>
      </c>
      <c r="AH28" s="9">
        <f t="shared" si="21"/>
        <v>90.138888888888815</v>
      </c>
      <c r="AI28" s="70">
        <f t="shared" si="22"/>
        <v>184.8611111111112</v>
      </c>
      <c r="AJ28" s="9">
        <f t="shared" si="23"/>
        <v>401.14928112143059</v>
      </c>
      <c r="AK28" s="70">
        <f t="shared" si="24"/>
        <v>1077.284556689056</v>
      </c>
    </row>
    <row r="29" spans="2:37">
      <c r="B29" s="713">
        <v>2035</v>
      </c>
      <c r="C29" s="9">
        <v>70.000371719574758</v>
      </c>
      <c r="D29" s="7">
        <v>100.5870912355971</v>
      </c>
      <c r="E29" s="70">
        <f t="shared" si="0"/>
        <v>1436.9508156121567</v>
      </c>
      <c r="F29" s="9">
        <v>100</v>
      </c>
      <c r="G29" s="7">
        <v>313.73790180693004</v>
      </c>
      <c r="H29" s="70">
        <f t="shared" si="1"/>
        <v>3137.3790180693004</v>
      </c>
      <c r="I29" s="7">
        <f t="shared" si="2"/>
        <v>170.00037171957476</v>
      </c>
      <c r="J29" s="7">
        <f t="shared" si="3"/>
        <v>414.32499304252713</v>
      </c>
      <c r="K29" s="7">
        <f t="shared" si="4"/>
        <v>2437.2005122787591</v>
      </c>
      <c r="L29" s="9">
        <v>79.999628280425242</v>
      </c>
      <c r="M29" s="7">
        <v>276.36120718008488</v>
      </c>
      <c r="N29" s="70">
        <f t="shared" si="5"/>
        <v>3454.5311412116457</v>
      </c>
      <c r="O29" s="9">
        <v>200</v>
      </c>
      <c r="P29" s="7">
        <v>834.77204216812709</v>
      </c>
      <c r="Q29" s="70">
        <f t="shared" si="6"/>
        <v>4173.8602108406349</v>
      </c>
      <c r="R29" s="7">
        <f t="shared" si="7"/>
        <v>279.99962828042521</v>
      </c>
      <c r="S29" s="7">
        <f t="shared" si="8"/>
        <v>1111.1332493482118</v>
      </c>
      <c r="T29" s="7">
        <f t="shared" si="9"/>
        <v>3968.3383016329926</v>
      </c>
      <c r="U29" s="9">
        <f t="shared" si="10"/>
        <v>150</v>
      </c>
      <c r="V29" s="7">
        <f t="shared" si="11"/>
        <v>376.94829841568196</v>
      </c>
      <c r="W29" s="70">
        <f t="shared" si="12"/>
        <v>2512.9886561045464</v>
      </c>
      <c r="X29" s="9">
        <f t="shared" si="13"/>
        <v>300</v>
      </c>
      <c r="Y29" s="7">
        <f t="shared" si="14"/>
        <v>1148.509943975057</v>
      </c>
      <c r="Z29" s="70">
        <f t="shared" si="15"/>
        <v>3828.3664799168569</v>
      </c>
      <c r="AA29" s="9">
        <f t="shared" si="16"/>
        <v>450</v>
      </c>
      <c r="AB29" s="7">
        <f t="shared" si="17"/>
        <v>1525.4582423907391</v>
      </c>
      <c r="AC29" s="70">
        <f t="shared" si="18"/>
        <v>3389.9072053127534</v>
      </c>
      <c r="AE29" s="686">
        <v>2035</v>
      </c>
      <c r="AF29" s="9">
        <f t="shared" si="19"/>
        <v>70.000371719574758</v>
      </c>
      <c r="AG29" s="70">
        <f t="shared" si="20"/>
        <v>79.999628280425242</v>
      </c>
      <c r="AH29" s="9">
        <f t="shared" si="21"/>
        <v>100</v>
      </c>
      <c r="AI29" s="70">
        <f t="shared" si="22"/>
        <v>200</v>
      </c>
      <c r="AJ29" s="9">
        <f t="shared" si="23"/>
        <v>414.32499304252713</v>
      </c>
      <c r="AK29" s="70">
        <f t="shared" si="24"/>
        <v>1111.1332493482118</v>
      </c>
    </row>
    <row r="30" spans="2:37">
      <c r="B30" s="713">
        <v>2036</v>
      </c>
      <c r="C30" s="9">
        <v>79.33375461551806</v>
      </c>
      <c r="D30" s="7">
        <v>113.11912187818579</v>
      </c>
      <c r="E30" s="70">
        <f t="shared" si="0"/>
        <v>1425.8637124437719</v>
      </c>
      <c r="F30" s="9">
        <v>106.66666666666666</v>
      </c>
      <c r="G30" s="7">
        <v>318.21717337821349</v>
      </c>
      <c r="H30" s="70">
        <f t="shared" si="1"/>
        <v>2983.2860004207514</v>
      </c>
      <c r="I30" s="7">
        <f t="shared" si="2"/>
        <v>186.00042128218473</v>
      </c>
      <c r="J30" s="7">
        <f t="shared" si="3"/>
        <v>431.3362952563993</v>
      </c>
      <c r="K30" s="7">
        <f t="shared" si="4"/>
        <v>2319.007087634554</v>
      </c>
      <c r="L30" s="9">
        <v>90.66624538448194</v>
      </c>
      <c r="M30" s="7">
        <v>302.81257829946207</v>
      </c>
      <c r="N30" s="70">
        <f t="shared" si="5"/>
        <v>3339.8601322393597</v>
      </c>
      <c r="O30" s="9">
        <v>213.33333333333331</v>
      </c>
      <c r="P30" s="7">
        <v>856.06150957843556</v>
      </c>
      <c r="Q30" s="70">
        <f t="shared" si="6"/>
        <v>4012.7883261489173</v>
      </c>
      <c r="R30" s="7">
        <f t="shared" si="7"/>
        <v>303.99957871781527</v>
      </c>
      <c r="S30" s="7">
        <f t="shared" si="8"/>
        <v>1158.8740878778976</v>
      </c>
      <c r="T30" s="7">
        <f t="shared" si="9"/>
        <v>3812.0910981709339</v>
      </c>
      <c r="U30" s="9">
        <f t="shared" si="10"/>
        <v>170</v>
      </c>
      <c r="V30" s="7">
        <f t="shared" si="11"/>
        <v>415.93170017764788</v>
      </c>
      <c r="W30" s="70">
        <f t="shared" si="12"/>
        <v>2446.6570598685171</v>
      </c>
      <c r="X30" s="9">
        <f t="shared" si="13"/>
        <v>320</v>
      </c>
      <c r="Y30" s="7">
        <f t="shared" si="14"/>
        <v>1174.2786829566489</v>
      </c>
      <c r="Z30" s="70">
        <f t="shared" si="15"/>
        <v>3669.6208842395281</v>
      </c>
      <c r="AA30" s="9">
        <f t="shared" si="16"/>
        <v>490</v>
      </c>
      <c r="AB30" s="7">
        <f t="shared" si="17"/>
        <v>1590.2103831342968</v>
      </c>
      <c r="AC30" s="70">
        <f t="shared" si="18"/>
        <v>3245.327312518973</v>
      </c>
      <c r="AE30" s="686">
        <v>2036</v>
      </c>
      <c r="AF30" s="9">
        <f t="shared" si="19"/>
        <v>79.33375461551806</v>
      </c>
      <c r="AG30" s="70">
        <f t="shared" si="20"/>
        <v>90.66624538448194</v>
      </c>
      <c r="AH30" s="9">
        <f t="shared" si="21"/>
        <v>106.66666666666666</v>
      </c>
      <c r="AI30" s="70">
        <f t="shared" si="22"/>
        <v>213.33333333333331</v>
      </c>
      <c r="AJ30" s="9">
        <f t="shared" si="23"/>
        <v>431.3362952563993</v>
      </c>
      <c r="AK30" s="70">
        <f t="shared" si="24"/>
        <v>1158.8740878778976</v>
      </c>
    </row>
    <row r="31" spans="2:37">
      <c r="B31" s="713">
        <v>2037</v>
      </c>
      <c r="C31" s="9">
        <v>88.667137511461362</v>
      </c>
      <c r="D31" s="7">
        <v>124.6111116730938</v>
      </c>
      <c r="E31" s="70">
        <f t="shared" si="0"/>
        <v>1405.3810145499083</v>
      </c>
      <c r="F31" s="9">
        <v>113.33333333333333</v>
      </c>
      <c r="G31" s="7">
        <v>319.93576938748242</v>
      </c>
      <c r="H31" s="70">
        <f t="shared" si="1"/>
        <v>2822.9626710660214</v>
      </c>
      <c r="I31" s="7">
        <f t="shared" si="2"/>
        <v>202.00047084479468</v>
      </c>
      <c r="J31" s="7">
        <f t="shared" si="3"/>
        <v>444.5468810605762</v>
      </c>
      <c r="K31" s="7">
        <f t="shared" si="4"/>
        <v>2200.7220042677031</v>
      </c>
      <c r="L31" s="9">
        <v>101.33286248853864</v>
      </c>
      <c r="M31" s="7">
        <v>400.58856586088996</v>
      </c>
      <c r="N31" s="70">
        <f t="shared" si="5"/>
        <v>3953.1950052846773</v>
      </c>
      <c r="O31" s="9">
        <v>226.66666666666666</v>
      </c>
      <c r="P31" s="7">
        <v>866.53991771552728</v>
      </c>
      <c r="Q31" s="70">
        <f t="shared" si="6"/>
        <v>3822.9702252155616</v>
      </c>
      <c r="R31" s="7">
        <f t="shared" si="7"/>
        <v>327.99952915520532</v>
      </c>
      <c r="S31" s="7">
        <f t="shared" si="8"/>
        <v>1267.1284835764172</v>
      </c>
      <c r="T31" s="7">
        <f t="shared" si="9"/>
        <v>3863.2021419055991</v>
      </c>
      <c r="U31" s="9">
        <f t="shared" si="10"/>
        <v>190</v>
      </c>
      <c r="V31" s="7">
        <f t="shared" si="11"/>
        <v>525.19967753398373</v>
      </c>
      <c r="W31" s="70">
        <f t="shared" si="12"/>
        <v>2764.2088291262303</v>
      </c>
      <c r="X31" s="9">
        <f t="shared" si="13"/>
        <v>340</v>
      </c>
      <c r="Y31" s="7">
        <f t="shared" si="14"/>
        <v>1186.4756871030097</v>
      </c>
      <c r="Z31" s="70">
        <f t="shared" si="15"/>
        <v>3489.6343738323817</v>
      </c>
      <c r="AA31" s="9">
        <f t="shared" si="16"/>
        <v>530</v>
      </c>
      <c r="AB31" s="7">
        <f t="shared" si="17"/>
        <v>1711.6753646369934</v>
      </c>
      <c r="AC31" s="70">
        <f t="shared" si="18"/>
        <v>3229.5761596924403</v>
      </c>
      <c r="AE31" s="686">
        <v>2037</v>
      </c>
      <c r="AF31" s="9">
        <f t="shared" si="19"/>
        <v>88.667137511461362</v>
      </c>
      <c r="AG31" s="70">
        <f t="shared" si="20"/>
        <v>101.33286248853864</v>
      </c>
      <c r="AH31" s="9">
        <f t="shared" si="21"/>
        <v>113.33333333333333</v>
      </c>
      <c r="AI31" s="70">
        <f t="shared" si="22"/>
        <v>226.66666666666666</v>
      </c>
      <c r="AJ31" s="9">
        <f t="shared" si="23"/>
        <v>444.5468810605762</v>
      </c>
      <c r="AK31" s="70">
        <f t="shared" si="24"/>
        <v>1267.1284835764172</v>
      </c>
    </row>
    <row r="32" spans="2:37">
      <c r="B32" s="713">
        <v>2038</v>
      </c>
      <c r="C32" s="9">
        <v>98.000520407404665</v>
      </c>
      <c r="D32" s="7">
        <v>134.86677057680299</v>
      </c>
      <c r="E32" s="70">
        <f t="shared" si="0"/>
        <v>1376.1842285749005</v>
      </c>
      <c r="F32" s="9">
        <v>120</v>
      </c>
      <c r="G32" s="7">
        <v>323.26599157137161</v>
      </c>
      <c r="H32" s="70">
        <f t="shared" si="1"/>
        <v>2693.8832630947632</v>
      </c>
      <c r="I32" s="7">
        <f t="shared" si="2"/>
        <v>218.00052040740468</v>
      </c>
      <c r="J32" s="7">
        <f t="shared" si="3"/>
        <v>458.13276214817461</v>
      </c>
      <c r="K32" s="7">
        <f t="shared" si="4"/>
        <v>2101.5214151416012</v>
      </c>
      <c r="L32" s="9">
        <v>111.99947959259534</v>
      </c>
      <c r="M32" s="7">
        <v>434.52080519872391</v>
      </c>
      <c r="N32" s="70">
        <f t="shared" si="5"/>
        <v>3879.6680732742579</v>
      </c>
      <c r="O32" s="9">
        <v>240</v>
      </c>
      <c r="P32" s="7">
        <v>884.07227077529683</v>
      </c>
      <c r="Q32" s="70">
        <f t="shared" si="6"/>
        <v>3683.6344615637367</v>
      </c>
      <c r="R32" s="7">
        <f t="shared" si="7"/>
        <v>351.99947959259532</v>
      </c>
      <c r="S32" s="7">
        <f t="shared" si="8"/>
        <v>1318.5930759740208</v>
      </c>
      <c r="T32" s="7">
        <f t="shared" si="9"/>
        <v>3746.0085949563399</v>
      </c>
      <c r="U32" s="9">
        <f t="shared" si="10"/>
        <v>210</v>
      </c>
      <c r="V32" s="7">
        <f t="shared" si="11"/>
        <v>569.3875757755269</v>
      </c>
      <c r="W32" s="70">
        <f t="shared" si="12"/>
        <v>2711.3694084548897</v>
      </c>
      <c r="X32" s="9">
        <f t="shared" si="13"/>
        <v>360</v>
      </c>
      <c r="Y32" s="7">
        <f t="shared" si="14"/>
        <v>1207.3382623466684</v>
      </c>
      <c r="Z32" s="70">
        <f t="shared" si="15"/>
        <v>3353.7173954074124</v>
      </c>
      <c r="AA32" s="9">
        <f t="shared" si="16"/>
        <v>570</v>
      </c>
      <c r="AB32" s="7">
        <f t="shared" si="17"/>
        <v>1776.7258381221955</v>
      </c>
      <c r="AC32" s="70">
        <f t="shared" si="18"/>
        <v>3117.0628738985884</v>
      </c>
      <c r="AE32" s="686">
        <v>2038</v>
      </c>
      <c r="AF32" s="9">
        <f t="shared" si="19"/>
        <v>98.000520407404665</v>
      </c>
      <c r="AG32" s="70">
        <f t="shared" si="20"/>
        <v>111.99947959259534</v>
      </c>
      <c r="AH32" s="9">
        <f t="shared" si="21"/>
        <v>120</v>
      </c>
      <c r="AI32" s="70">
        <f t="shared" si="22"/>
        <v>240</v>
      </c>
      <c r="AJ32" s="9">
        <f t="shared" si="23"/>
        <v>458.13276214817461</v>
      </c>
      <c r="AK32" s="70">
        <f t="shared" si="24"/>
        <v>1318.5930759740208</v>
      </c>
    </row>
    <row r="33" spans="2:37">
      <c r="B33" s="713">
        <v>2039</v>
      </c>
      <c r="C33" s="9">
        <v>107.33390330334795</v>
      </c>
      <c r="D33" s="7">
        <v>220.32926771124281</v>
      </c>
      <c r="E33" s="70">
        <f t="shared" si="0"/>
        <v>2052.7462519325927</v>
      </c>
      <c r="F33" s="9">
        <v>126.66666666666666</v>
      </c>
      <c r="G33" s="7">
        <v>321.98196801592252</v>
      </c>
      <c r="H33" s="70">
        <f t="shared" si="1"/>
        <v>2541.9629053888625</v>
      </c>
      <c r="I33" s="7">
        <f t="shared" si="2"/>
        <v>234.00056997001462</v>
      </c>
      <c r="J33" s="7">
        <f t="shared" si="3"/>
        <v>542.31123572716535</v>
      </c>
      <c r="K33" s="7">
        <f t="shared" si="4"/>
        <v>2317.5637383988351</v>
      </c>
      <c r="L33" s="9">
        <v>122.66609669665205</v>
      </c>
      <c r="M33" s="7">
        <v>482.35624990222044</v>
      </c>
      <c r="N33" s="70">
        <f t="shared" si="5"/>
        <v>3932.2703085194485</v>
      </c>
      <c r="O33" s="9">
        <v>253.33333333333331</v>
      </c>
      <c r="P33" s="7">
        <v>882.87611064610633</v>
      </c>
      <c r="Q33" s="70">
        <f t="shared" si="6"/>
        <v>3485.0372788662094</v>
      </c>
      <c r="R33" s="7">
        <f t="shared" si="7"/>
        <v>375.99943002998538</v>
      </c>
      <c r="S33" s="7">
        <f t="shared" si="8"/>
        <v>1365.2323605483268</v>
      </c>
      <c r="T33" s="7">
        <f t="shared" si="9"/>
        <v>3630.9426331828527</v>
      </c>
      <c r="U33" s="9">
        <f t="shared" si="10"/>
        <v>230</v>
      </c>
      <c r="V33" s="7">
        <f t="shared" si="11"/>
        <v>702.68551761346328</v>
      </c>
      <c r="W33" s="70">
        <f t="shared" si="12"/>
        <v>3055.1544244063621</v>
      </c>
      <c r="X33" s="9">
        <f t="shared" si="13"/>
        <v>380</v>
      </c>
      <c r="Y33" s="7">
        <f t="shared" si="14"/>
        <v>1204.8580786620289</v>
      </c>
      <c r="Z33" s="70">
        <f t="shared" si="15"/>
        <v>3170.6791543737604</v>
      </c>
      <c r="AA33" s="9">
        <f t="shared" si="16"/>
        <v>610</v>
      </c>
      <c r="AB33" s="7">
        <f t="shared" si="17"/>
        <v>1907.5435962754923</v>
      </c>
      <c r="AC33" s="70">
        <f t="shared" si="18"/>
        <v>3127.1206496319546</v>
      </c>
      <c r="AE33" s="686">
        <v>2039</v>
      </c>
      <c r="AF33" s="9">
        <f t="shared" si="19"/>
        <v>107.33390330334795</v>
      </c>
      <c r="AG33" s="70">
        <f t="shared" si="20"/>
        <v>122.66609669665205</v>
      </c>
      <c r="AH33" s="9">
        <f t="shared" si="21"/>
        <v>126.66666666666666</v>
      </c>
      <c r="AI33" s="70">
        <f t="shared" si="22"/>
        <v>253.33333333333331</v>
      </c>
      <c r="AJ33" s="9">
        <f t="shared" si="23"/>
        <v>542.31123572716535</v>
      </c>
      <c r="AK33" s="70">
        <f t="shared" si="24"/>
        <v>1365.2323605483268</v>
      </c>
    </row>
    <row r="34" spans="2:37">
      <c r="B34" s="714">
        <v>2040</v>
      </c>
      <c r="C34" s="10">
        <v>116.66728619929125</v>
      </c>
      <c r="D34" s="8">
        <v>229.74421439439482</v>
      </c>
      <c r="E34" s="135">
        <f t="shared" si="0"/>
        <v>1969.2256662415664</v>
      </c>
      <c r="F34" s="10">
        <v>133.33333333333331</v>
      </c>
      <c r="G34" s="8">
        <v>326.36588521394424</v>
      </c>
      <c r="H34" s="135">
        <f t="shared" si="1"/>
        <v>2447.7441391045822</v>
      </c>
      <c r="I34" s="8">
        <f t="shared" si="2"/>
        <v>250.00061953262457</v>
      </c>
      <c r="J34" s="8">
        <f t="shared" si="3"/>
        <v>556.11009960833906</v>
      </c>
      <c r="K34" s="8">
        <f t="shared" si="4"/>
        <v>2224.4348859934239</v>
      </c>
      <c r="L34" s="10">
        <v>133.33271380070875</v>
      </c>
      <c r="M34" s="8">
        <v>589.15547637713996</v>
      </c>
      <c r="N34" s="135">
        <f t="shared" si="5"/>
        <v>4418.6866042323682</v>
      </c>
      <c r="O34" s="10">
        <v>266.66666666666663</v>
      </c>
      <c r="P34" s="8">
        <v>901.49978242726957</v>
      </c>
      <c r="Q34" s="135">
        <f t="shared" si="6"/>
        <v>3380.6241841022616</v>
      </c>
      <c r="R34" s="8">
        <f t="shared" si="7"/>
        <v>399.99938046737537</v>
      </c>
      <c r="S34" s="8">
        <f t="shared" si="8"/>
        <v>1490.6552588044096</v>
      </c>
      <c r="T34" s="8">
        <f t="shared" si="9"/>
        <v>3726.6439189547445</v>
      </c>
      <c r="U34" s="10">
        <f t="shared" si="10"/>
        <v>250</v>
      </c>
      <c r="V34" s="8">
        <f t="shared" si="11"/>
        <v>818.89969077153478</v>
      </c>
      <c r="W34" s="135">
        <f t="shared" si="12"/>
        <v>3275.5987630861391</v>
      </c>
      <c r="X34" s="10">
        <f t="shared" si="13"/>
        <v>399.99999999999994</v>
      </c>
      <c r="Y34" s="8">
        <f t="shared" si="14"/>
        <v>1227.8656676412138</v>
      </c>
      <c r="Z34" s="135">
        <f t="shared" si="15"/>
        <v>3069.664169103035</v>
      </c>
      <c r="AA34" s="10">
        <f t="shared" si="16"/>
        <v>650</v>
      </c>
      <c r="AB34" s="8">
        <f t="shared" si="17"/>
        <v>2046.7653584127486</v>
      </c>
      <c r="AC34" s="135">
        <f t="shared" si="18"/>
        <v>3148.869782173459</v>
      </c>
      <c r="AE34" s="727">
        <v>2040</v>
      </c>
      <c r="AF34" s="10">
        <f t="shared" si="19"/>
        <v>116.66728619929125</v>
      </c>
      <c r="AG34" s="135">
        <f t="shared" si="20"/>
        <v>133.33271380070875</v>
      </c>
      <c r="AH34" s="10">
        <f t="shared" si="21"/>
        <v>133.33333333333331</v>
      </c>
      <c r="AI34" s="135">
        <f t="shared" si="22"/>
        <v>266.66666666666663</v>
      </c>
      <c r="AJ34" s="10">
        <f t="shared" si="23"/>
        <v>556.11009960833906</v>
      </c>
      <c r="AK34" s="135">
        <f t="shared" si="24"/>
        <v>1490.6552588044096</v>
      </c>
    </row>
    <row r="35" spans="2:37" ht="12.75" customHeight="1">
      <c r="B35" s="304" t="s">
        <v>384</v>
      </c>
      <c r="C35" s="689"/>
      <c r="D35" s="689"/>
      <c r="E35" s="689"/>
      <c r="F35" s="689"/>
      <c r="G35" s="689"/>
      <c r="H35" s="689"/>
      <c r="L35" s="689"/>
      <c r="AE35" s="304" t="s">
        <v>406</v>
      </c>
    </row>
    <row r="36" spans="2:37">
      <c r="B36" s="304" t="s">
        <v>382</v>
      </c>
      <c r="C36" s="689"/>
      <c r="D36" s="689"/>
      <c r="E36" s="689"/>
      <c r="F36" s="689"/>
      <c r="G36" s="689"/>
      <c r="H36" s="689"/>
      <c r="L36" s="689"/>
    </row>
  </sheetData>
  <mergeCells count="17">
    <mergeCell ref="B6:B9"/>
    <mergeCell ref="C7:E7"/>
    <mergeCell ref="F7:H7"/>
    <mergeCell ref="L7:N7"/>
    <mergeCell ref="O7:Q7"/>
    <mergeCell ref="AE7:AE9"/>
    <mergeCell ref="AF7:AG7"/>
    <mergeCell ref="AH7:AI7"/>
    <mergeCell ref="AJ7:AK7"/>
    <mergeCell ref="C6:K6"/>
    <mergeCell ref="I7:K7"/>
    <mergeCell ref="L6:T6"/>
    <mergeCell ref="R7:T7"/>
    <mergeCell ref="AA7:AC7"/>
    <mergeCell ref="U7:W7"/>
    <mergeCell ref="X7:Z7"/>
    <mergeCell ref="U6:AC6"/>
  </mergeCells>
  <hyperlinks>
    <hyperlink ref="A2" location="Indholdsfortegnelse!A1" display="Indholdsfortegnelse"/>
  </hyperlinks>
  <pageMargins left="0.7" right="0.7" top="0.75" bottom="0.75" header="0.3" footer="0.3"/>
  <ignoredErrors>
    <ignoredError sqref="W10 W11:W34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L34"/>
  <sheetViews>
    <sheetView workbookViewId="0"/>
  </sheetViews>
  <sheetFormatPr defaultRowHeight="12.75"/>
  <cols>
    <col min="3" max="3" width="14.28515625" customWidth="1"/>
  </cols>
  <sheetData>
    <row r="1" spans="1:12">
      <c r="A1" s="130" t="s">
        <v>29</v>
      </c>
    </row>
    <row r="2" spans="1:12">
      <c r="A2" s="132" t="s">
        <v>56</v>
      </c>
    </row>
    <row r="3" spans="1:12">
      <c r="A3" t="s">
        <v>1</v>
      </c>
    </row>
    <row r="6" spans="1:12" ht="21">
      <c r="B6" s="847" t="s">
        <v>0</v>
      </c>
      <c r="C6" s="65" t="s">
        <v>14</v>
      </c>
      <c r="D6" s="876" t="s">
        <v>4</v>
      </c>
      <c r="E6" s="876"/>
    </row>
    <row r="7" spans="1:12" s="689" customFormat="1">
      <c r="B7" s="879"/>
      <c r="C7" s="684" t="s">
        <v>381</v>
      </c>
      <c r="D7" s="684" t="s">
        <v>387</v>
      </c>
      <c r="E7" s="684" t="s">
        <v>381</v>
      </c>
    </row>
    <row r="8" spans="1:12">
      <c r="B8" s="848"/>
      <c r="C8" s="684" t="s">
        <v>5</v>
      </c>
      <c r="D8" s="684" t="s">
        <v>395</v>
      </c>
      <c r="E8" s="684" t="s">
        <v>5</v>
      </c>
      <c r="G8" s="703" t="s">
        <v>392</v>
      </c>
      <c r="H8" s="704"/>
      <c r="I8" s="704"/>
      <c r="J8" s="704"/>
      <c r="K8" s="704"/>
      <c r="L8" s="705"/>
    </row>
    <row r="9" spans="1:12">
      <c r="B9" s="713">
        <v>2016</v>
      </c>
      <c r="C9" s="7">
        <v>489.48279074392406</v>
      </c>
      <c r="D9" s="81">
        <v>8.1</v>
      </c>
      <c r="E9" s="70">
        <f t="shared" ref="E9:E33" si="0">D9*$L$11</f>
        <v>24.299999999999997</v>
      </c>
      <c r="G9" s="880" t="s">
        <v>394</v>
      </c>
      <c r="H9" s="881"/>
      <c r="I9" s="881"/>
      <c r="J9" s="881"/>
      <c r="K9" s="706" t="s">
        <v>389</v>
      </c>
      <c r="L9" s="707">
        <v>20000</v>
      </c>
    </row>
    <row r="10" spans="1:12">
      <c r="B10" s="713">
        <v>2017</v>
      </c>
      <c r="C10" s="7">
        <v>521.56776519760012</v>
      </c>
      <c r="D10" s="81">
        <v>9</v>
      </c>
      <c r="E10" s="70">
        <f t="shared" si="0"/>
        <v>27</v>
      </c>
      <c r="G10" s="880" t="s">
        <v>388</v>
      </c>
      <c r="H10" s="881"/>
      <c r="I10" s="881"/>
      <c r="J10" s="881"/>
      <c r="K10" s="706" t="s">
        <v>390</v>
      </c>
      <c r="L10" s="708">
        <v>0.15</v>
      </c>
    </row>
    <row r="11" spans="1:12">
      <c r="B11" s="713">
        <v>2018</v>
      </c>
      <c r="C11" s="7">
        <v>554.19818662290959</v>
      </c>
      <c r="D11" s="81">
        <v>10</v>
      </c>
      <c r="E11" s="70">
        <f t="shared" si="0"/>
        <v>30</v>
      </c>
      <c r="G11" s="882" t="s">
        <v>393</v>
      </c>
      <c r="H11" s="883"/>
      <c r="I11" s="883"/>
      <c r="J11" s="883"/>
      <c r="K11" s="709" t="s">
        <v>391</v>
      </c>
      <c r="L11" s="710">
        <f>L9*L10/1000</f>
        <v>3</v>
      </c>
    </row>
    <row r="12" spans="1:12">
      <c r="B12" s="713">
        <v>2019</v>
      </c>
      <c r="C12" s="7">
        <v>588.83070798926838</v>
      </c>
      <c r="D12" s="81">
        <v>11.25</v>
      </c>
      <c r="E12" s="70">
        <f t="shared" si="0"/>
        <v>33.75</v>
      </c>
    </row>
    <row r="13" spans="1:12">
      <c r="B13" s="713">
        <v>2020</v>
      </c>
      <c r="C13" s="7">
        <v>626.01073948971555</v>
      </c>
      <c r="D13" s="81">
        <v>12.5</v>
      </c>
      <c r="E13" s="70">
        <f t="shared" si="0"/>
        <v>37.5</v>
      </c>
    </row>
    <row r="14" spans="1:12">
      <c r="B14" s="713">
        <v>2021</v>
      </c>
      <c r="C14" s="7">
        <v>684.71689523268333</v>
      </c>
      <c r="D14" s="81">
        <v>33.25</v>
      </c>
      <c r="E14" s="70">
        <f t="shared" si="0"/>
        <v>99.75</v>
      </c>
    </row>
    <row r="15" spans="1:12">
      <c r="B15" s="713">
        <v>2022</v>
      </c>
      <c r="C15" s="7">
        <v>748.45688089308806</v>
      </c>
      <c r="D15" s="81">
        <v>54</v>
      </c>
      <c r="E15" s="70">
        <f t="shared" si="0"/>
        <v>162</v>
      </c>
    </row>
    <row r="16" spans="1:12">
      <c r="B16" s="713">
        <v>2023</v>
      </c>
      <c r="C16" s="7">
        <v>818.45188809197145</v>
      </c>
      <c r="D16" s="81">
        <v>74.75</v>
      </c>
      <c r="E16" s="70">
        <f t="shared" si="0"/>
        <v>224.25</v>
      </c>
    </row>
    <row r="17" spans="2:5">
      <c r="B17" s="713">
        <v>2024</v>
      </c>
      <c r="C17" s="7">
        <v>891.73846614108902</v>
      </c>
      <c r="D17" s="81">
        <v>95.5</v>
      </c>
      <c r="E17" s="70">
        <f t="shared" si="0"/>
        <v>286.5</v>
      </c>
    </row>
    <row r="18" spans="2:5">
      <c r="B18" s="713">
        <v>2025</v>
      </c>
      <c r="C18" s="7">
        <v>968.12439750721887</v>
      </c>
      <c r="D18" s="81">
        <v>116.25</v>
      </c>
      <c r="E18" s="70">
        <f t="shared" si="0"/>
        <v>348.75</v>
      </c>
    </row>
    <row r="19" spans="2:5">
      <c r="B19" s="713">
        <v>2026</v>
      </c>
      <c r="C19" s="7">
        <v>1047.4384726088638</v>
      </c>
      <c r="D19" s="81">
        <v>137</v>
      </c>
      <c r="E19" s="70">
        <f t="shared" si="0"/>
        <v>411</v>
      </c>
    </row>
    <row r="20" spans="2:5">
      <c r="B20" s="713">
        <v>2027</v>
      </c>
      <c r="C20" s="7">
        <v>1129.0443341058244</v>
      </c>
      <c r="D20" s="81">
        <v>157.75</v>
      </c>
      <c r="E20" s="70">
        <f t="shared" si="0"/>
        <v>473.25</v>
      </c>
    </row>
    <row r="21" spans="2:5">
      <c r="B21" s="713">
        <v>2028</v>
      </c>
      <c r="C21" s="7">
        <v>1213.3208615592071</v>
      </c>
      <c r="D21" s="81">
        <v>178.5</v>
      </c>
      <c r="E21" s="70">
        <f t="shared" si="0"/>
        <v>535.5</v>
      </c>
    </row>
    <row r="22" spans="2:5">
      <c r="B22" s="713">
        <v>2029</v>
      </c>
      <c r="C22" s="7">
        <v>1299.6006657305159</v>
      </c>
      <c r="D22" s="81">
        <v>199.25</v>
      </c>
      <c r="E22" s="70">
        <f t="shared" si="0"/>
        <v>597.75</v>
      </c>
    </row>
    <row r="23" spans="2:5">
      <c r="B23" s="713">
        <v>2030</v>
      </c>
      <c r="C23" s="7">
        <v>1385.1165901940242</v>
      </c>
      <c r="D23" s="81">
        <v>220</v>
      </c>
      <c r="E23" s="70">
        <f t="shared" si="0"/>
        <v>660</v>
      </c>
    </row>
    <row r="24" spans="2:5">
      <c r="B24" s="713">
        <v>2031</v>
      </c>
      <c r="C24" s="7">
        <v>1474.0063773922298</v>
      </c>
      <c r="D24" s="81">
        <v>256</v>
      </c>
      <c r="E24" s="70">
        <f t="shared" si="0"/>
        <v>768</v>
      </c>
    </row>
    <row r="25" spans="2:5">
      <c r="B25" s="713">
        <v>2032</v>
      </c>
      <c r="C25" s="7">
        <v>1570.1593831696641</v>
      </c>
      <c r="D25" s="81">
        <v>292</v>
      </c>
      <c r="E25" s="70">
        <f t="shared" si="0"/>
        <v>876</v>
      </c>
    </row>
    <row r="26" spans="2:5">
      <c r="B26" s="713">
        <v>2033</v>
      </c>
      <c r="C26" s="7">
        <v>1667.5578679746932</v>
      </c>
      <c r="D26" s="81">
        <v>328</v>
      </c>
      <c r="E26" s="70">
        <f t="shared" si="0"/>
        <v>984</v>
      </c>
    </row>
    <row r="27" spans="2:5">
      <c r="B27" s="713">
        <v>2034</v>
      </c>
      <c r="C27" s="7">
        <v>1730.2812894599297</v>
      </c>
      <c r="D27" s="81">
        <v>364</v>
      </c>
      <c r="E27" s="70">
        <f t="shared" si="0"/>
        <v>1092</v>
      </c>
    </row>
    <row r="28" spans="2:5">
      <c r="B28" s="713">
        <v>2035</v>
      </c>
      <c r="C28" s="7">
        <v>1790.3617325936568</v>
      </c>
      <c r="D28" s="81">
        <v>400</v>
      </c>
      <c r="E28" s="70">
        <f t="shared" si="0"/>
        <v>1200</v>
      </c>
    </row>
    <row r="29" spans="2:5">
      <c r="B29" s="713">
        <v>2036</v>
      </c>
      <c r="C29" s="7">
        <v>1850.5387431473157</v>
      </c>
      <c r="D29" s="81">
        <v>470</v>
      </c>
      <c r="E29" s="70">
        <f t="shared" si="0"/>
        <v>1410</v>
      </c>
    </row>
    <row r="30" spans="2:5">
      <c r="B30" s="713">
        <v>2037</v>
      </c>
      <c r="C30" s="7">
        <v>1909.7931162907926</v>
      </c>
      <c r="D30" s="81">
        <v>540</v>
      </c>
      <c r="E30" s="70">
        <f t="shared" si="0"/>
        <v>1620</v>
      </c>
    </row>
    <row r="31" spans="2:5">
      <c r="B31" s="713">
        <v>2038</v>
      </c>
      <c r="C31" s="7">
        <v>1968.0414583976205</v>
      </c>
      <c r="D31" s="81">
        <v>610</v>
      </c>
      <c r="E31" s="70">
        <f t="shared" si="0"/>
        <v>1830</v>
      </c>
    </row>
    <row r="32" spans="2:5">
      <c r="B32" s="713">
        <v>2039</v>
      </c>
      <c r="C32" s="7">
        <v>2025.1970218071292</v>
      </c>
      <c r="D32" s="81">
        <v>680</v>
      </c>
      <c r="E32" s="70">
        <f t="shared" si="0"/>
        <v>2040</v>
      </c>
    </row>
    <row r="33" spans="2:5">
      <c r="B33" s="714">
        <v>2040</v>
      </c>
      <c r="C33" s="8">
        <v>2081.1695936092933</v>
      </c>
      <c r="D33" s="697">
        <v>750</v>
      </c>
      <c r="E33" s="135">
        <f t="shared" si="0"/>
        <v>2250</v>
      </c>
    </row>
    <row r="34" spans="2:5">
      <c r="B34" s="304" t="s">
        <v>396</v>
      </c>
    </row>
  </sheetData>
  <mergeCells count="5">
    <mergeCell ref="B6:B8"/>
    <mergeCell ref="D6:E6"/>
    <mergeCell ref="G9:J9"/>
    <mergeCell ref="G10:J10"/>
    <mergeCell ref="G11:J11"/>
  </mergeCells>
  <hyperlinks>
    <hyperlink ref="A2" location="Indholdsfortegnelse!A1" display="Indholdsfortegnelse"/>
  </hyperlink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kationBillede xmlns="4b5c920b-1f91-4ce4-8b24-adf6c6b7e60a">
      <Url xsi:nil="true"/>
      <Description xsi:nil="true"/>
    </PublikationBillede>
    <PublikationKategori xmlns="4b5c920b-1f91-4ce4-8b24-adf6c6b7e60a">Rapporter og planer</PublikationKategori>
    <Publikation_x0020_Kontaktperson xmlns="4b5c920b-1f91-4ce4-8b24-adf6c6b7e60a">Kasper Nyborg</Publikation_x0020_Kontaktperson>
    <PublikationUdgivelsesdato xmlns="4b5c920b-1f91-4ce4-8b24-adf6c6b7e60a">2016-06-02T22:00:00+00:00</PublikationUdgivelsesdato>
    <PublikationResume xmlns="4b5c920b-1f91-4ce4-8b24-adf6c6b7e60a">Energinet.dk's analyseforudsætninger 2016, juni 2016 - regneark med tabeller.</PublikationResume>
    <PublishingExpirationDate xmlns="http://schemas.microsoft.com/sharepoint/v3" xsi:nil="true"/>
    <PublikationSprog xmlns="4b5c920b-1f91-4ce4-8b24-adf6c6b7e60a">Dansk</PublikationSprog>
    <Publiceres xmlns="4b5c920b-1f91-4ce4-8b24-adf6c6b7e60a">false</Publiceres>
    <PublishingStartDate xmlns="http://schemas.microsoft.com/sharepoint/v3" xsi:nil="true"/>
    <ForsideEmne xmlns="4b5c920b-1f91-4ce4-8b24-adf6c6b7e60a">
      <Value>El</Value>
    </ForsideEmne>
    <EPages xmlns="4b5c920b-1f91-4ce4-8b24-adf6c6b7e60a">
      <Url xsi:nil="true"/>
      <Description xsi:nil="true"/>
    </EPages>
    <PublikationUKversion xmlns="4b5c920b-1f91-4ce4-8b24-adf6c6b7e60a">false</PublikationUKversion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485042053D4E344AE54A54CB14B1550" ma:contentTypeVersion="12" ma:contentTypeDescription="Opret et nyt dokument." ma:contentTypeScope="" ma:versionID="8454a22ef67ce446f69b8e238788effa">
  <xsd:schema xmlns:xsd="http://www.w3.org/2001/XMLSchema" xmlns:xs="http://www.w3.org/2001/XMLSchema" xmlns:p="http://schemas.microsoft.com/office/2006/metadata/properties" xmlns:ns1="http://schemas.microsoft.com/sharepoint/v3" xmlns:ns2="4b5c920b-1f91-4ce4-8b24-adf6c6b7e60a" targetNamespace="http://schemas.microsoft.com/office/2006/metadata/properties" ma:root="true" ma:fieldsID="64f98fef268981bce18e8a31db029b71" ns1:_="" ns2:_="">
    <xsd:import namespace="http://schemas.microsoft.com/sharepoint/v3"/>
    <xsd:import namespace="4b5c920b-1f91-4ce4-8b24-adf6c6b7e60a"/>
    <xsd:element name="properties">
      <xsd:complexType>
        <xsd:sequence>
          <xsd:element name="documentManagement">
            <xsd:complexType>
              <xsd:all>
                <xsd:element ref="ns2:Publikation_x0020_Kontaktperson"/>
                <xsd:element ref="ns2:PublikationUKversion" minOccurs="0"/>
                <xsd:element ref="ns2:PublikationSprog"/>
                <xsd:element ref="ns2:PublikationUdgivelsesdato"/>
                <xsd:element ref="ns2:ForsideEmne" minOccurs="0"/>
                <xsd:element ref="ns2:PublikationKategori"/>
                <xsd:element ref="ns2:Publiceres" minOccurs="0"/>
                <xsd:element ref="ns2:EPages" minOccurs="0"/>
                <xsd:element ref="ns2:PublikationResume"/>
                <xsd:element ref="ns2:PublikationBillede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2" nillable="true" ma:displayName="Startdato for planlægning" ma:description="" ma:internalName="PublishingStartDate">
      <xsd:simpleType>
        <xsd:restriction base="dms:Unknown"/>
      </xsd:simpleType>
    </xsd:element>
    <xsd:element name="PublishingExpirationDate" ma:index="13" nillable="true" ma:displayName="Slutdato for planlægning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5c920b-1f91-4ce4-8b24-adf6c6b7e60a" elementFormDefault="qualified">
    <xsd:import namespace="http://schemas.microsoft.com/office/2006/documentManagement/types"/>
    <xsd:import namespace="http://schemas.microsoft.com/office/infopath/2007/PartnerControls"/>
    <xsd:element name="Publikation_x0020_Kontaktperson" ma:index="2" ma:displayName="Publikation kontaktperson" ma:description="Skriv her det fulde navn" ma:internalName="Publikation_x0020_Kontaktperson">
      <xsd:simpleType>
        <xsd:restriction base="dms:Text">
          <xsd:maxLength value="255"/>
        </xsd:restriction>
      </xsd:simpleType>
    </xsd:element>
    <xsd:element name="PublikationUKversion" ma:index="3" nillable="true" ma:displayName="Publikation i UK version?" ma:default="0" ma:description="Findes publikationen i engelsk version?" ma:internalName="Publikation_x0020_i_x0020_UK_x0020_version_x003f_">
      <xsd:simpleType>
        <xsd:restriction base="dms:Boolean"/>
      </xsd:simpleType>
    </xsd:element>
    <xsd:element name="PublikationSprog" ma:index="4" ma:displayName="Publikation sprog" ma:default="Dansk" ma:format="Dropdown" ma:internalName="Publikation_x0020_Sprog">
      <xsd:simpleType>
        <xsd:restriction base="dms:Choice">
          <xsd:enumeration value="Dansk"/>
          <xsd:enumeration value="Engelsk"/>
          <xsd:enumeration value="Svensk"/>
        </xsd:restriction>
      </xsd:simpleType>
    </xsd:element>
    <xsd:element name="PublikationUdgivelsesdato" ma:index="5" ma:displayName="Publikation udgivelsesdato" ma:default="[today]" ma:format="DateOnly" ma:internalName="Publikation_x0020_Udgivelsesdato">
      <xsd:simpleType>
        <xsd:restriction base="dms:DateTime"/>
      </xsd:simpleType>
    </xsd:element>
    <xsd:element name="ForsideEmne" ma:index="6" nillable="true" ma:displayName="Forside-emne" ma:internalName="Forside_x002d_Emn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l"/>
                    <xsd:enumeration value="Gas"/>
                    <xsd:enumeration value="Anlæg og projekter"/>
                    <xsd:enumeration value="Klima og miljø"/>
                    <xsd:enumeration value="Forskning"/>
                    <xsd:enumeration value="Forskning - PSO-projekter"/>
                    <xsd:enumeration value="Job"/>
                    <xsd:enumeration value="Om os"/>
                  </xsd:restriction>
                </xsd:simpleType>
              </xsd:element>
            </xsd:sequence>
          </xsd:extension>
        </xsd:complexContent>
      </xsd:complexType>
    </xsd:element>
    <xsd:element name="PublikationKategori" ma:index="7" ma:displayName="Publikation kategori" ma:format="RadioButtons" ma:internalName="Publikation_x0020_Kategori">
      <xsd:simpleType>
        <xsd:restriction base="dms:Choice">
          <xsd:enumeration value="Brochurer og magasiner"/>
          <xsd:enumeration value="Formularer og blanketter"/>
          <xsd:enumeration value="Konferencemateriale"/>
          <xsd:enumeration value="Rapporter og planer"/>
          <xsd:enumeration value="Regler og forskrifter"/>
          <xsd:enumeration value="Udbudsmateriale"/>
          <xsd:enumeration value="Vejledninger"/>
        </xsd:restriction>
      </xsd:simpleType>
    </xsd:element>
    <xsd:element name="Publiceres" ma:index="8" nillable="true" ma:displayName="Publiceres?" ma:default="0" ma:description="Skal publikationen være synlig og kunne fremsøges på hjemmesiden? OBS! Google vil altid kunne finde og vise dokumenterne uanset om du fravælger denne publicering." ma:internalName="Publiceres_x003f_">
      <xsd:simpleType>
        <xsd:restriction base="dms:Boolean"/>
      </xsd:simpleType>
    </xsd:element>
    <xsd:element name="EPages" ma:index="9" nillable="true" ma:displayName="E-Pages" ma:format="Hyperlink" ma:internalName="EPages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kationResume" ma:index="10" ma:displayName="Publikation resumé" ma:description="Kort resume eller forklaring til publikationen; eksempelvis formål og målgruppe" ma:internalName="Publikation_x0020_Resum_x00e9_">
      <xsd:simpleType>
        <xsd:restriction base="dms:Note">
          <xsd:maxLength value="255"/>
        </xsd:restriction>
      </xsd:simpleType>
    </xsd:element>
    <xsd:element name="PublikationBillede" ma:index="11" nillable="true" ma:displayName="Publikation Billede" ma:format="Image" ma:internalName="Publikation_x0020_Billed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Indhol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9A5346-550E-43DD-8366-9300404642DE}">
  <ds:schemaRefs>
    <ds:schemaRef ds:uri="http://purl.org/dc/elements/1.1/"/>
    <ds:schemaRef ds:uri="4b5c920b-1f91-4ce4-8b24-adf6c6b7e60a"/>
    <ds:schemaRef ds:uri="http://schemas.microsoft.com/sharepoint/v3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4CB90DC-B30F-418A-A80E-EF1044264A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b5c920b-1f91-4ce4-8b24-adf6c6b7e6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DBCBB54-182D-49EC-9332-98E37D06C87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19</vt:i4>
      </vt:variant>
    </vt:vector>
  </HeadingPairs>
  <TitlesOfParts>
    <vt:vector size="19" baseType="lpstr">
      <vt:lpstr>Indholdsfortegnelse</vt:lpstr>
      <vt:lpstr>Økonomiske nøgletal</vt:lpstr>
      <vt:lpstr>Brændselspriser</vt:lpstr>
      <vt:lpstr>CO2, SO2 og NOx priser</vt:lpstr>
      <vt:lpstr>Elpriser</vt:lpstr>
      <vt:lpstr>Elforbrug</vt:lpstr>
      <vt:lpstr>Effektforbrug</vt:lpstr>
      <vt:lpstr>Store varmepumper</vt:lpstr>
      <vt:lpstr>Indiv. VP og elbiler</vt:lpstr>
      <vt:lpstr>Elpatroner</vt:lpstr>
      <vt:lpstr>Vindkapacitet</vt:lpstr>
      <vt:lpstr>Solceller</vt:lpstr>
      <vt:lpstr>Kraftværker, Øst</vt:lpstr>
      <vt:lpstr>Kraftværker, Vest</vt:lpstr>
      <vt:lpstr>Udlandsforbindelser</vt:lpstr>
      <vt:lpstr>Centrale gasdata</vt:lpstr>
      <vt:lpstr>Gasforbindelser</vt:lpstr>
      <vt:lpstr>Fjernvarmeforbrug</vt:lpstr>
      <vt:lpstr>Beregningsark, vind</vt:lpstr>
    </vt:vector>
  </TitlesOfParts>
  <Company>Energinet.dk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Sidsel P. Goltermann</dc:creator>
  <cp:lastModifiedBy>Sidsel Pedersen Goltermann</cp:lastModifiedBy>
  <cp:lastPrinted>2015-02-18T07:01:51Z</cp:lastPrinted>
  <dcterms:created xsi:type="dcterms:W3CDTF">2009-02-04T10:06:32Z</dcterms:created>
  <dcterms:modified xsi:type="dcterms:W3CDTF">2016-10-19T11:35:20Z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0x0101000485042053D4E344AE54A54CB14B1550</vt:lpwstr>
  </property>
</Properties>
</file>